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Технолог 2\Desktop\"/>
    </mc:Choice>
  </mc:AlternateContent>
  <bookViews>
    <workbookView xWindow="0" yWindow="0" windowWidth="28800" windowHeight="11565"/>
  </bookViews>
  <sheets>
    <sheet name="Калькулятор" sheetId="1" r:id="rId1"/>
    <sheet name="Отчет по корпусам" sheetId="9" r:id="rId2"/>
    <sheet name="Отчет по фасадам" sheetId="11" r:id="rId3"/>
    <sheet name="Фурнитура" sheetId="12" r:id="rId4"/>
    <sheet name="Общий отчёт" sheetId="13" r:id="rId5"/>
    <sheet name="Бланк заказа корпус" sheetId="10" state="hidden" r:id="rId6"/>
  </sheets>
  <definedNames>
    <definedName name="_xlnm._FilterDatabase" localSheetId="0" hidden="1">Калькулятор!$D$2:$L$39</definedName>
    <definedName name="ExternalData_1" localSheetId="1" hidden="1">'Отчет по корпусам'!$A$1:$H$2</definedName>
    <definedName name="ExternalData_1" localSheetId="2" hidden="1">'Отчет по фасадам'!$A$1:$L$2</definedName>
    <definedName name="_xlnm.Print_Area" localSheetId="0">Калькулятор!$Q:$Q</definedName>
    <definedName name="_xlnm.Print_Area" localSheetId="1">'Отчет по корпусам'!$A$1:$H$58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3" l="1"/>
  <c r="H58" i="13" s="1"/>
  <c r="B3" i="11"/>
  <c r="C3" i="11"/>
  <c r="L3" i="11"/>
  <c r="F3" i="9"/>
  <c r="G3" i="9"/>
  <c r="H20" i="13" l="1"/>
  <c r="H36" i="13"/>
  <c r="H45" i="13"/>
  <c r="F45" i="13"/>
  <c r="F36" i="13"/>
  <c r="F20" i="13"/>
  <c r="G20" i="13" l="1"/>
  <c r="G32" i="13"/>
  <c r="F32" i="13"/>
  <c r="G31" i="13"/>
  <c r="F31" i="13"/>
  <c r="G30" i="13"/>
  <c r="F30" i="13"/>
  <c r="G29" i="13"/>
  <c r="F29" i="13"/>
  <c r="C21" i="12"/>
  <c r="C20" i="12"/>
  <c r="C18" i="12"/>
  <c r="C19" i="12"/>
  <c r="C42" i="12"/>
  <c r="C6" i="12" l="1"/>
  <c r="C5" i="12"/>
  <c r="C45" i="12"/>
  <c r="C44" i="12"/>
  <c r="C41" i="12"/>
  <c r="C33" i="12"/>
  <c r="C37" i="12"/>
  <c r="C29" i="12"/>
  <c r="C23" i="12"/>
  <c r="C22" i="12"/>
  <c r="C17" i="12"/>
  <c r="C13" i="12"/>
  <c r="C12" i="12"/>
  <c r="C8" i="12"/>
  <c r="C40" i="12" l="1"/>
  <c r="D40" i="12" s="1"/>
  <c r="C39" i="12"/>
  <c r="C38" i="12"/>
  <c r="C36" i="12"/>
  <c r="C35" i="12"/>
  <c r="C34" i="12"/>
  <c r="C32" i="12"/>
  <c r="C31" i="12"/>
  <c r="C30" i="12"/>
  <c r="C28" i="12"/>
  <c r="C27" i="12"/>
  <c r="C26" i="12"/>
  <c r="C25" i="12"/>
  <c r="C24" i="12"/>
  <c r="C16" i="12"/>
  <c r="C15" i="12"/>
  <c r="D45" i="12"/>
  <c r="C9" i="12" l="1"/>
  <c r="C7" i="12"/>
  <c r="Q38" i="1" l="1"/>
  <c r="P38" i="1"/>
  <c r="I38" i="1"/>
  <c r="K38" i="1" s="1"/>
  <c r="Q110" i="1"/>
  <c r="P110" i="1"/>
  <c r="K110" i="1"/>
  <c r="Q58" i="1"/>
  <c r="P58" i="1"/>
  <c r="O2" i="11" l="1"/>
  <c r="O3" i="11" s="1"/>
  <c r="H51" i="13" s="1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5" i="13"/>
  <c r="F35" i="13"/>
  <c r="G34" i="13"/>
  <c r="F34" i="13"/>
  <c r="G33" i="13"/>
  <c r="F33" i="13"/>
  <c r="G28" i="13"/>
  <c r="F28" i="13"/>
  <c r="G27" i="13"/>
  <c r="F27" i="13"/>
  <c r="G26" i="13"/>
  <c r="F26" i="13"/>
  <c r="G25" i="13"/>
  <c r="F25" i="13"/>
  <c r="G24" i="13"/>
  <c r="F24" i="13"/>
  <c r="G23" i="13"/>
  <c r="F23" i="13"/>
  <c r="G22" i="13"/>
  <c r="F22" i="13"/>
  <c r="E20" i="13"/>
  <c r="G19" i="13"/>
  <c r="F19" i="13"/>
  <c r="G18" i="13"/>
  <c r="F18" i="13"/>
  <c r="G17" i="13"/>
  <c r="F17" i="13"/>
  <c r="G16" i="13"/>
  <c r="F16" i="13"/>
  <c r="G15" i="13"/>
  <c r="F15" i="13"/>
  <c r="G14" i="13"/>
  <c r="F14" i="13"/>
  <c r="G13" i="13"/>
  <c r="F13" i="13"/>
  <c r="G12" i="13"/>
  <c r="F12" i="13"/>
  <c r="G11" i="13"/>
  <c r="F11" i="13"/>
  <c r="G10" i="13"/>
  <c r="F10" i="13"/>
  <c r="G9" i="13"/>
  <c r="F9" i="13"/>
  <c r="G8" i="13"/>
  <c r="F8" i="13"/>
  <c r="G7" i="13"/>
  <c r="F7" i="13"/>
  <c r="G6" i="13"/>
  <c r="F6" i="13"/>
  <c r="G5" i="13"/>
  <c r="F5" i="13"/>
  <c r="D43" i="12" l="1"/>
  <c r="D46" i="12" s="1"/>
  <c r="H52" i="13" s="1"/>
  <c r="D41" i="12"/>
  <c r="D38" i="12" l="1"/>
  <c r="D12" i="12"/>
  <c r="D31" i="12"/>
  <c r="D36" i="12"/>
  <c r="D39" i="12"/>
  <c r="D13" i="12"/>
  <c r="D32" i="12"/>
  <c r="D18" i="12"/>
  <c r="D42" i="12"/>
  <c r="D30" i="12"/>
  <c r="C14" i="12"/>
  <c r="D14" i="12" s="1"/>
  <c r="D15" i="12"/>
  <c r="D33" i="12"/>
  <c r="D19" i="12"/>
  <c r="D37" i="12"/>
  <c r="D20" i="12"/>
  <c r="D21" i="12"/>
  <c r="D6" i="12"/>
  <c r="D7" i="12"/>
  <c r="D8" i="12"/>
  <c r="D26" i="12"/>
  <c r="D44" i="12"/>
  <c r="D24" i="12"/>
  <c r="D25" i="12"/>
  <c r="D9" i="12"/>
  <c r="D27" i="12"/>
  <c r="C10" i="12"/>
  <c r="D10" i="12" s="1"/>
  <c r="D16" i="12"/>
  <c r="D22" i="12"/>
  <c r="D28" i="12"/>
  <c r="D34" i="12"/>
  <c r="D5" i="12"/>
  <c r="C11" i="12"/>
  <c r="D11" i="12" s="1"/>
  <c r="D17" i="12"/>
  <c r="D23" i="12"/>
  <c r="D29" i="12"/>
  <c r="D35" i="12"/>
  <c r="V185" i="1" l="1"/>
  <c r="T185" i="1"/>
  <c r="R185" i="1"/>
  <c r="S192" i="1"/>
  <c r="Q192" i="1"/>
  <c r="P192" i="1"/>
  <c r="R192" i="1" s="1"/>
  <c r="S193" i="1"/>
  <c r="Q193" i="1"/>
  <c r="P193" i="1"/>
  <c r="R193" i="1" s="1"/>
  <c r="Q201" i="1"/>
  <c r="P201" i="1"/>
  <c r="Q202" i="1"/>
  <c r="P202" i="1"/>
  <c r="Q204" i="1"/>
  <c r="P204" i="1"/>
  <c r="Q205" i="1"/>
  <c r="P205" i="1"/>
  <c r="Q207" i="1"/>
  <c r="P207" i="1"/>
  <c r="Q208" i="1"/>
  <c r="P208" i="1"/>
  <c r="S213" i="1"/>
  <c r="Q213" i="1"/>
  <c r="P213" i="1"/>
  <c r="R213" i="1" s="1"/>
  <c r="S214" i="1"/>
  <c r="Q214" i="1"/>
  <c r="P214" i="1"/>
  <c r="R214" i="1" s="1"/>
  <c r="Q210" i="1"/>
  <c r="P210" i="1"/>
  <c r="Q211" i="1"/>
  <c r="P211" i="1"/>
  <c r="Q18" i="1"/>
  <c r="P18" i="1"/>
  <c r="Q19" i="1"/>
  <c r="P19" i="1"/>
  <c r="U35" i="1"/>
  <c r="T35" i="1"/>
  <c r="S35" i="1"/>
  <c r="Q35" i="1"/>
  <c r="P35" i="1"/>
  <c r="R35" i="1" s="1"/>
  <c r="U36" i="1"/>
  <c r="T36" i="1"/>
  <c r="S36" i="1"/>
  <c r="Q36" i="1"/>
  <c r="P36" i="1"/>
  <c r="R36" i="1" s="1"/>
  <c r="S21" i="1"/>
  <c r="R21" i="1"/>
  <c r="Q21" i="1"/>
  <c r="P21" i="1"/>
  <c r="S22" i="1"/>
  <c r="R22" i="1"/>
  <c r="Q22" i="1"/>
  <c r="P22" i="1"/>
  <c r="S30" i="1"/>
  <c r="R30" i="1"/>
  <c r="Q30" i="1"/>
  <c r="P30" i="1"/>
  <c r="S31" i="1"/>
  <c r="R31" i="1"/>
  <c r="Q31" i="1"/>
  <c r="P31" i="1"/>
  <c r="S27" i="1"/>
  <c r="R27" i="1"/>
  <c r="Q27" i="1"/>
  <c r="P27" i="1"/>
  <c r="P28" i="1"/>
  <c r="Q28" i="1"/>
  <c r="R28" i="1"/>
  <c r="S28" i="1"/>
  <c r="S54" i="1"/>
  <c r="Q54" i="1"/>
  <c r="P54" i="1"/>
  <c r="R54" i="1" s="1"/>
  <c r="S55" i="1"/>
  <c r="Q55" i="1"/>
  <c r="P55" i="1"/>
  <c r="R55" i="1" s="1"/>
  <c r="Q51" i="1"/>
  <c r="P51" i="1"/>
  <c r="Q52" i="1"/>
  <c r="P52" i="1"/>
  <c r="Q60" i="1"/>
  <c r="P60" i="1"/>
  <c r="Q61" i="1"/>
  <c r="P61" i="1"/>
  <c r="W80" i="1"/>
  <c r="U80" i="1"/>
  <c r="S80" i="1"/>
  <c r="Q80" i="1"/>
  <c r="P80" i="1"/>
  <c r="T80" i="1" s="1"/>
  <c r="W81" i="1"/>
  <c r="U81" i="1"/>
  <c r="S81" i="1"/>
  <c r="Q81" i="1"/>
  <c r="P81" i="1"/>
  <c r="T81" i="1" s="1"/>
  <c r="U77" i="1"/>
  <c r="S77" i="1"/>
  <c r="R77" i="1"/>
  <c r="T77" i="1" s="1"/>
  <c r="Q77" i="1"/>
  <c r="U78" i="1"/>
  <c r="S78" i="1"/>
  <c r="R78" i="1"/>
  <c r="T78" i="1" s="1"/>
  <c r="Q78" i="1"/>
  <c r="U74" i="1"/>
  <c r="T74" i="1"/>
  <c r="S74" i="1"/>
  <c r="Q74" i="1"/>
  <c r="P74" i="1"/>
  <c r="R74" i="1" s="1"/>
  <c r="U73" i="1"/>
  <c r="T73" i="1"/>
  <c r="S73" i="1"/>
  <c r="Q73" i="1"/>
  <c r="P73" i="1"/>
  <c r="R73" i="1" s="1"/>
  <c r="S63" i="1"/>
  <c r="Q63" i="1"/>
  <c r="P63" i="1"/>
  <c r="R63" i="1" s="1"/>
  <c r="S70" i="1"/>
  <c r="Q70" i="1"/>
  <c r="P70" i="1"/>
  <c r="R70" i="1" s="1"/>
  <c r="S71" i="1"/>
  <c r="Q71" i="1"/>
  <c r="P71" i="1"/>
  <c r="R71" i="1" s="1"/>
  <c r="S67" i="1"/>
  <c r="Q67" i="1"/>
  <c r="P67" i="1"/>
  <c r="R67" i="1" s="1"/>
  <c r="S68" i="1"/>
  <c r="Q68" i="1"/>
  <c r="P68" i="1"/>
  <c r="R68" i="1" s="1"/>
  <c r="V81" i="1" l="1"/>
  <c r="V80" i="1"/>
  <c r="R80" i="1"/>
  <c r="R81" i="1"/>
  <c r="F225" i="1"/>
  <c r="L1" i="9" s="1"/>
  <c r="O1" i="1"/>
  <c r="I4" i="1" s="1"/>
  <c r="I7" i="1" l="1"/>
  <c r="I5" i="1"/>
  <c r="I6" i="1"/>
  <c r="I185" i="1"/>
  <c r="K185" i="1" s="1"/>
  <c r="I58" i="1"/>
  <c r="K58" i="1" s="1"/>
  <c r="I193" i="1"/>
  <c r="K193" i="1" s="1"/>
  <c r="I192" i="1"/>
  <c r="K192" i="1" s="1"/>
  <c r="I202" i="1"/>
  <c r="K202" i="1" s="1"/>
  <c r="I201" i="1"/>
  <c r="K201" i="1" s="1"/>
  <c r="I204" i="1"/>
  <c r="K204" i="1" s="1"/>
  <c r="I205" i="1"/>
  <c r="K205" i="1" s="1"/>
  <c r="I207" i="1"/>
  <c r="K207" i="1" s="1"/>
  <c r="I208" i="1"/>
  <c r="K208" i="1" s="1"/>
  <c r="I214" i="1"/>
  <c r="K214" i="1" s="1"/>
  <c r="I213" i="1"/>
  <c r="K213" i="1" s="1"/>
  <c r="I210" i="1"/>
  <c r="K210" i="1" s="1"/>
  <c r="I211" i="1"/>
  <c r="K211" i="1" s="1"/>
  <c r="I19" i="1"/>
  <c r="K19" i="1" s="1"/>
  <c r="I18" i="1"/>
  <c r="K18" i="1" s="1"/>
  <c r="I35" i="1"/>
  <c r="K35" i="1" s="1"/>
  <c r="I36" i="1"/>
  <c r="K36" i="1" s="1"/>
  <c r="I21" i="1"/>
  <c r="K21" i="1" s="1"/>
  <c r="I22" i="1"/>
  <c r="K22" i="1" s="1"/>
  <c r="I27" i="1"/>
  <c r="K27" i="1" s="1"/>
  <c r="I30" i="1"/>
  <c r="K30" i="1" s="1"/>
  <c r="I31" i="1"/>
  <c r="K31" i="1" s="1"/>
  <c r="I93" i="1"/>
  <c r="K93" i="1" s="1"/>
  <c r="I28" i="1"/>
  <c r="K28" i="1" s="1"/>
  <c r="I51" i="1"/>
  <c r="K51" i="1" s="1"/>
  <c r="I54" i="1"/>
  <c r="K54" i="1" s="1"/>
  <c r="I55" i="1"/>
  <c r="K55" i="1" s="1"/>
  <c r="I92" i="1"/>
  <c r="K92" i="1" s="1"/>
  <c r="I52" i="1"/>
  <c r="K52" i="1" s="1"/>
  <c r="I61" i="1"/>
  <c r="K61" i="1" s="1"/>
  <c r="I60" i="1"/>
  <c r="K60" i="1" s="1"/>
  <c r="I81" i="1"/>
  <c r="K81" i="1" s="1"/>
  <c r="I80" i="1"/>
  <c r="K80" i="1" s="1"/>
  <c r="I77" i="1"/>
  <c r="K77" i="1" s="1"/>
  <c r="I78" i="1"/>
  <c r="K78" i="1" s="1"/>
  <c r="I73" i="1"/>
  <c r="K73" i="1" s="1"/>
  <c r="I74" i="1"/>
  <c r="K74" i="1" s="1"/>
  <c r="I63" i="1"/>
  <c r="K63" i="1" s="1"/>
  <c r="I70" i="1"/>
  <c r="K70" i="1" s="1"/>
  <c r="I71" i="1"/>
  <c r="K71" i="1" s="1"/>
  <c r="I67" i="1"/>
  <c r="K67" i="1" s="1"/>
  <c r="I68" i="1"/>
  <c r="K68" i="1" s="1"/>
  <c r="Q97" i="1"/>
  <c r="P98" i="1"/>
  <c r="X98" i="1" s="1"/>
  <c r="P121" i="1" l="1"/>
  <c r="Q4" i="1" l="1"/>
  <c r="Q8" i="1"/>
  <c r="Q9" i="1"/>
  <c r="Q10" i="1"/>
  <c r="Q11" i="1"/>
  <c r="Q12" i="1"/>
  <c r="Q13" i="1"/>
  <c r="Q14" i="1"/>
  <c r="S15" i="1"/>
  <c r="Q15" i="1"/>
  <c r="S23" i="1"/>
  <c r="R23" i="1"/>
  <c r="Q16" i="1"/>
  <c r="P16" i="1"/>
  <c r="Q17" i="1"/>
  <c r="Q37" i="1"/>
  <c r="S37" i="1"/>
  <c r="U37" i="1"/>
  <c r="T37" i="1"/>
  <c r="P37" i="1"/>
  <c r="Q32" i="1"/>
  <c r="Q33" i="1"/>
  <c r="Q34" i="1"/>
  <c r="S32" i="1"/>
  <c r="S33" i="1"/>
  <c r="S34" i="1"/>
  <c r="S29" i="1"/>
  <c r="Q29" i="1"/>
  <c r="P33" i="1"/>
  <c r="R34" i="1"/>
  <c r="P34" i="1"/>
  <c r="R32" i="1"/>
  <c r="P32" i="1"/>
  <c r="R29" i="1"/>
  <c r="P29" i="1"/>
  <c r="Q20" i="1"/>
  <c r="Q23" i="1"/>
  <c r="Q24" i="1"/>
  <c r="Q25" i="1"/>
  <c r="Q26" i="1"/>
  <c r="Q39" i="1"/>
  <c r="T146" i="1"/>
  <c r="R146" i="1"/>
  <c r="V146" i="1"/>
  <c r="T145" i="1"/>
  <c r="V145" i="1"/>
  <c r="V144" i="1"/>
  <c r="T144" i="1"/>
  <c r="U143" i="1"/>
  <c r="S143" i="1"/>
  <c r="T143" i="1"/>
  <c r="R143" i="1"/>
  <c r="P144" i="1"/>
  <c r="R144" i="1" s="1"/>
  <c r="P145" i="1"/>
  <c r="R145" i="1" s="1"/>
  <c r="P143" i="1"/>
  <c r="P146" i="1"/>
  <c r="P147" i="1"/>
  <c r="V147" i="1"/>
  <c r="T147" i="1"/>
  <c r="R147" i="1"/>
  <c r="T148" i="1"/>
  <c r="P148" i="1" s="1"/>
  <c r="T149" i="1"/>
  <c r="P149" i="1" s="1"/>
  <c r="T153" i="1"/>
  <c r="R153" i="1"/>
  <c r="P153" i="1"/>
  <c r="P154" i="1"/>
  <c r="R154" i="1"/>
  <c r="T154" i="1"/>
  <c r="V154" i="1"/>
  <c r="P155" i="1"/>
  <c r="R155" i="1"/>
  <c r="T155" i="1"/>
  <c r="V155" i="1"/>
  <c r="R150" i="1"/>
  <c r="T151" i="1"/>
  <c r="P151" i="1" s="1"/>
  <c r="R152" i="1"/>
  <c r="P152" i="1" s="1"/>
  <c r="R156" i="1"/>
  <c r="P156" i="1" s="1"/>
  <c r="R157" i="1"/>
  <c r="P157" i="1" s="1"/>
  <c r="R158" i="1"/>
  <c r="P158" i="1"/>
  <c r="P159" i="1"/>
  <c r="U159" i="1"/>
  <c r="U160" i="1"/>
  <c r="T160" i="1"/>
  <c r="R160" i="1"/>
  <c r="P160" i="1"/>
  <c r="T163" i="1"/>
  <c r="R163" i="1" s="1"/>
  <c r="T170" i="1"/>
  <c r="R170" i="1"/>
  <c r="R171" i="1"/>
  <c r="T171" i="1"/>
  <c r="Q171" i="1"/>
  <c r="P162" i="1"/>
  <c r="R162" i="1" s="1"/>
  <c r="P164" i="1"/>
  <c r="R164" i="1" s="1"/>
  <c r="P165" i="1"/>
  <c r="R165" i="1" s="1"/>
  <c r="P166" i="1"/>
  <c r="R166" i="1" s="1"/>
  <c r="P161" i="1"/>
  <c r="P167" i="1"/>
  <c r="P168" i="1"/>
  <c r="P169" i="1"/>
  <c r="P172" i="1"/>
  <c r="R172" i="1" s="1"/>
  <c r="P141" i="1"/>
  <c r="R141" i="1" s="1"/>
  <c r="P140" i="1"/>
  <c r="T140" i="1" s="1"/>
  <c r="P138" i="1"/>
  <c r="P139" i="1"/>
  <c r="P137" i="1"/>
  <c r="P136" i="1"/>
  <c r="P135" i="1"/>
  <c r="P134" i="1"/>
  <c r="P133" i="1"/>
  <c r="R133" i="1" s="1"/>
  <c r="P132" i="1"/>
  <c r="R132" i="1" s="1"/>
  <c r="V131" i="1"/>
  <c r="R131" i="1"/>
  <c r="T131" i="1" s="1"/>
  <c r="P171" i="1" l="1"/>
  <c r="P170" i="1"/>
  <c r="P163" i="1"/>
  <c r="R140" i="1"/>
  <c r="P131" i="1"/>
  <c r="P130" i="1"/>
  <c r="R130" i="1" s="1"/>
  <c r="P129" i="1"/>
  <c r="R129" i="1" s="1"/>
  <c r="T129" i="1" s="1"/>
  <c r="P128" i="1"/>
  <c r="R128" i="1" s="1"/>
  <c r="T128" i="1" s="1"/>
  <c r="T126" i="1"/>
  <c r="P127" i="1"/>
  <c r="R127" i="1" s="1"/>
  <c r="T127" i="1" s="1"/>
  <c r="T130" i="1" l="1"/>
  <c r="P124" i="1"/>
  <c r="P122" i="1"/>
  <c r="R122" i="1" s="1"/>
  <c r="T120" i="1"/>
  <c r="V117" i="1"/>
  <c r="V118" i="1"/>
  <c r="V119" i="1"/>
  <c r="U117" i="1"/>
  <c r="U118" i="1"/>
  <c r="U119" i="1"/>
  <c r="U120" i="1"/>
  <c r="U121" i="1"/>
  <c r="U123" i="1"/>
  <c r="U125" i="1"/>
  <c r="U126" i="1"/>
  <c r="U127" i="1"/>
  <c r="U128" i="1"/>
  <c r="U129" i="1"/>
  <c r="U130" i="1"/>
  <c r="U131" i="1"/>
  <c r="U134" i="1"/>
  <c r="U136" i="1"/>
  <c r="U137" i="1"/>
  <c r="U138" i="1"/>
  <c r="U139" i="1"/>
  <c r="U140" i="1"/>
  <c r="U142" i="1"/>
  <c r="U144" i="1"/>
  <c r="U145" i="1"/>
  <c r="U146" i="1"/>
  <c r="U147" i="1"/>
  <c r="U148" i="1"/>
  <c r="U149" i="1"/>
  <c r="U151" i="1"/>
  <c r="U153" i="1"/>
  <c r="U154" i="1"/>
  <c r="U155" i="1"/>
  <c r="U163" i="1"/>
  <c r="U170" i="1"/>
  <c r="U171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2" i="1"/>
  <c r="S163" i="1"/>
  <c r="S164" i="1"/>
  <c r="S165" i="1"/>
  <c r="S166" i="1"/>
  <c r="S170" i="1"/>
  <c r="S171" i="1"/>
  <c r="S172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2" i="1"/>
  <c r="W118" i="1"/>
  <c r="W119" i="1"/>
  <c r="W120" i="1"/>
  <c r="W121" i="1"/>
  <c r="W131" i="1"/>
  <c r="W138" i="1"/>
  <c r="W142" i="1"/>
  <c r="W144" i="1"/>
  <c r="W145" i="1"/>
  <c r="W146" i="1"/>
  <c r="W147" i="1"/>
  <c r="W154" i="1"/>
  <c r="W155" i="1"/>
  <c r="W117" i="1"/>
  <c r="W116" i="1"/>
  <c r="P125" i="1"/>
  <c r="P123" i="1"/>
  <c r="R123" i="1" s="1"/>
  <c r="R119" i="1"/>
  <c r="P119" i="1"/>
  <c r="R118" i="1"/>
  <c r="P118" i="1"/>
  <c r="R117" i="1"/>
  <c r="P117" i="1"/>
  <c r="U116" i="1"/>
  <c r="R116" i="1"/>
  <c r="P116" i="1"/>
  <c r="T116" i="1" s="1"/>
  <c r="S120" i="1"/>
  <c r="Q120" i="1"/>
  <c r="S119" i="1"/>
  <c r="Q119" i="1"/>
  <c r="Q118" i="1"/>
  <c r="S118" i="1"/>
  <c r="S117" i="1"/>
  <c r="S116" i="1"/>
  <c r="Q117" i="1"/>
  <c r="Q116" i="1"/>
  <c r="T117" i="1"/>
  <c r="T118" i="1"/>
  <c r="T119" i="1"/>
  <c r="P120" i="1"/>
  <c r="U115" i="1"/>
  <c r="U114" i="1"/>
  <c r="S115" i="1"/>
  <c r="S114" i="1"/>
  <c r="Q115" i="1"/>
  <c r="Q114" i="1"/>
  <c r="P115" i="1"/>
  <c r="R115" i="1" s="1"/>
  <c r="P114" i="1"/>
  <c r="R114" i="1" s="1"/>
  <c r="U113" i="1"/>
  <c r="S113" i="1"/>
  <c r="Q113" i="1"/>
  <c r="P113" i="1"/>
  <c r="T113" i="1" s="1"/>
  <c r="Q177" i="1"/>
  <c r="S178" i="1"/>
  <c r="S179" i="1"/>
  <c r="Q178" i="1"/>
  <c r="Q179" i="1"/>
  <c r="P179" i="1"/>
  <c r="P178" i="1"/>
  <c r="Q175" i="1"/>
  <c r="Q176" i="1"/>
  <c r="Q174" i="1"/>
  <c r="Q187" i="1"/>
  <c r="Q188" i="1"/>
  <c r="S195" i="1"/>
  <c r="Q195" i="1"/>
  <c r="S196" i="1"/>
  <c r="Q196" i="1"/>
  <c r="P189" i="1"/>
  <c r="P190" i="1"/>
  <c r="P191" i="1"/>
  <c r="P194" i="1"/>
  <c r="P195" i="1"/>
  <c r="P196" i="1"/>
  <c r="P197" i="1"/>
  <c r="S189" i="1"/>
  <c r="Q189" i="1"/>
  <c r="S190" i="1"/>
  <c r="Q190" i="1"/>
  <c r="S191" i="1"/>
  <c r="Q191" i="1"/>
  <c r="S194" i="1"/>
  <c r="Q194" i="1"/>
  <c r="S197" i="1"/>
  <c r="Q197" i="1"/>
  <c r="S198" i="1"/>
  <c r="Q198" i="1"/>
  <c r="P198" i="1"/>
  <c r="P174" i="1"/>
  <c r="P175" i="1"/>
  <c r="P176" i="1"/>
  <c r="P177" i="1"/>
  <c r="P180" i="1"/>
  <c r="P181" i="1"/>
  <c r="P182" i="1"/>
  <c r="P183" i="1"/>
  <c r="X183" i="1" s="1"/>
  <c r="P184" i="1"/>
  <c r="X184" i="1" s="1"/>
  <c r="P187" i="1"/>
  <c r="P188" i="1"/>
  <c r="Q212" i="1"/>
  <c r="Q209" i="1"/>
  <c r="Q206" i="1"/>
  <c r="Q203" i="1"/>
  <c r="Q219" i="1"/>
  <c r="P199" i="1"/>
  <c r="P200" i="1"/>
  <c r="P203" i="1"/>
  <c r="P206" i="1"/>
  <c r="P209" i="1"/>
  <c r="P212" i="1"/>
  <c r="P215" i="1"/>
  <c r="P216" i="1"/>
  <c r="P217" i="1"/>
  <c r="X217" i="1" s="1"/>
  <c r="P218" i="1"/>
  <c r="X218" i="1" s="1"/>
  <c r="P219" i="1"/>
  <c r="S200" i="1"/>
  <c r="S199" i="1"/>
  <c r="Q199" i="1"/>
  <c r="Q200" i="1"/>
  <c r="S215" i="1"/>
  <c r="Q215" i="1"/>
  <c r="S220" i="1"/>
  <c r="Q220" i="1"/>
  <c r="P220" i="1"/>
  <c r="Q41" i="1"/>
  <c r="Q42" i="1"/>
  <c r="Q43" i="1"/>
  <c r="Q44" i="1"/>
  <c r="Q45" i="1"/>
  <c r="Q46" i="1"/>
  <c r="Q47" i="1"/>
  <c r="Q48" i="1"/>
  <c r="Q49" i="1"/>
  <c r="Q50" i="1"/>
  <c r="Q53" i="1"/>
  <c r="S56" i="1"/>
  <c r="Q56" i="1"/>
  <c r="Q57" i="1"/>
  <c r="Q59" i="1"/>
  <c r="Q62" i="1"/>
  <c r="S64" i="1"/>
  <c r="Q64" i="1"/>
  <c r="Q65" i="1"/>
  <c r="Q66" i="1"/>
  <c r="T75" i="1"/>
  <c r="P75" i="1"/>
  <c r="P76" i="1"/>
  <c r="R76" i="1" s="1"/>
  <c r="R79" i="1"/>
  <c r="T79" i="1" s="1"/>
  <c r="S69" i="1"/>
  <c r="Q69" i="1"/>
  <c r="S72" i="1"/>
  <c r="Q72" i="1"/>
  <c r="U75" i="1"/>
  <c r="S75" i="1"/>
  <c r="Q75" i="1"/>
  <c r="Q76" i="1"/>
  <c r="S76" i="1"/>
  <c r="U76" i="1"/>
  <c r="U79" i="1"/>
  <c r="S79" i="1"/>
  <c r="Q79" i="1"/>
  <c r="W82" i="1"/>
  <c r="U82" i="1"/>
  <c r="S82" i="1"/>
  <c r="Q82" i="1"/>
  <c r="Q85" i="1"/>
  <c r="S85" i="1" s="1"/>
  <c r="Q86" i="1"/>
  <c r="S86" i="1" s="1"/>
  <c r="P95" i="1"/>
  <c r="Q95" i="1"/>
  <c r="Q96" i="1"/>
  <c r="Q99" i="1"/>
  <c r="Q100" i="1"/>
  <c r="Q101" i="1"/>
  <c r="Q102" i="1"/>
  <c r="T123" i="1" l="1"/>
  <c r="V116" i="1"/>
  <c r="T115" i="1"/>
  <c r="T114" i="1"/>
  <c r="R113" i="1"/>
  <c r="P39" i="1"/>
  <c r="P26" i="1"/>
  <c r="P25" i="1"/>
  <c r="P24" i="1"/>
  <c r="P23" i="1"/>
  <c r="P20" i="1"/>
  <c r="P17" i="1"/>
  <c r="P15" i="1"/>
  <c r="R15" i="1" s="1"/>
  <c r="P14" i="1"/>
  <c r="P13" i="1"/>
  <c r="R13" i="1" s="1"/>
  <c r="P12" i="1"/>
  <c r="T12" i="1" s="1"/>
  <c r="P11" i="1"/>
  <c r="T11" i="1" s="1"/>
  <c r="P10" i="1"/>
  <c r="R10" i="1" s="1"/>
  <c r="P9" i="1"/>
  <c r="R9" i="1" s="1"/>
  <c r="P8" i="1"/>
  <c r="P7" i="1"/>
  <c r="T7" i="1" s="1"/>
  <c r="P6" i="1"/>
  <c r="T6" i="1" s="1"/>
  <c r="P5" i="1"/>
  <c r="R5" i="1" s="1"/>
  <c r="P4" i="1"/>
  <c r="R106" i="1"/>
  <c r="S106" i="1"/>
  <c r="Q106" i="1"/>
  <c r="P107" i="1"/>
  <c r="R107" i="1" s="1"/>
  <c r="S107" i="1"/>
  <c r="Q107" i="1"/>
  <c r="R108" i="1"/>
  <c r="T108" i="1" s="1"/>
  <c r="U108" i="1"/>
  <c r="S108" i="1"/>
  <c r="Q108" i="1"/>
  <c r="Q109" i="1"/>
  <c r="Q111" i="1"/>
  <c r="P109" i="1"/>
  <c r="V3" i="1"/>
  <c r="V103" i="1"/>
  <c r="V104" i="1"/>
  <c r="V105" i="1"/>
  <c r="V112" i="1"/>
  <c r="V142" i="1"/>
  <c r="V173" i="1"/>
  <c r="V186" i="1"/>
  <c r="V219" i="1"/>
  <c r="V221" i="1"/>
  <c r="V222" i="1"/>
  <c r="V223" i="1"/>
  <c r="T3" i="1"/>
  <c r="T13" i="1"/>
  <c r="T76" i="1"/>
  <c r="T103" i="1"/>
  <c r="T104" i="1"/>
  <c r="T105" i="1"/>
  <c r="T112" i="1"/>
  <c r="T142" i="1"/>
  <c r="T173" i="1"/>
  <c r="T177" i="1"/>
  <c r="T186" i="1"/>
  <c r="T219" i="1"/>
  <c r="T221" i="1"/>
  <c r="T222" i="1"/>
  <c r="T223" i="1"/>
  <c r="R3" i="1"/>
  <c r="R33" i="1"/>
  <c r="R37" i="1"/>
  <c r="R75" i="1"/>
  <c r="R103" i="1"/>
  <c r="R104" i="1"/>
  <c r="R105" i="1"/>
  <c r="R112" i="1"/>
  <c r="R125" i="1"/>
  <c r="R136" i="1"/>
  <c r="R138" i="1"/>
  <c r="R142" i="1"/>
  <c r="R148" i="1"/>
  <c r="R149" i="1"/>
  <c r="R151" i="1"/>
  <c r="R159" i="1"/>
  <c r="R173" i="1"/>
  <c r="R175" i="1"/>
  <c r="R177" i="1"/>
  <c r="R178" i="1"/>
  <c r="R179" i="1"/>
  <c r="R182" i="1"/>
  <c r="R186" i="1"/>
  <c r="R189" i="1"/>
  <c r="R190" i="1"/>
  <c r="R191" i="1"/>
  <c r="R194" i="1"/>
  <c r="R195" i="1"/>
  <c r="R196" i="1"/>
  <c r="R197" i="1"/>
  <c r="R198" i="1"/>
  <c r="R199" i="1"/>
  <c r="R200" i="1"/>
  <c r="R215" i="1"/>
  <c r="R219" i="1"/>
  <c r="R220" i="1"/>
  <c r="R221" i="1"/>
  <c r="R222" i="1"/>
  <c r="R223" i="1"/>
  <c r="P82" i="1"/>
  <c r="V82" i="1" s="1"/>
  <c r="P96" i="1"/>
  <c r="P97" i="1"/>
  <c r="P40" i="1"/>
  <c r="V40" i="1" s="1"/>
  <c r="P41" i="1"/>
  <c r="P42" i="1"/>
  <c r="R42" i="1" s="1"/>
  <c r="P43" i="1"/>
  <c r="R43" i="1" s="1"/>
  <c r="P44" i="1"/>
  <c r="T44" i="1" s="1"/>
  <c r="P45" i="1"/>
  <c r="P46" i="1"/>
  <c r="R46" i="1" s="1"/>
  <c r="P47" i="1"/>
  <c r="T47" i="1" s="1"/>
  <c r="P48" i="1"/>
  <c r="R48" i="1" s="1"/>
  <c r="P49" i="1"/>
  <c r="T49" i="1" s="1"/>
  <c r="P50" i="1"/>
  <c r="T50" i="1" s="1"/>
  <c r="P53" i="1"/>
  <c r="P56" i="1"/>
  <c r="R56" i="1" s="1"/>
  <c r="P57" i="1"/>
  <c r="P59" i="1"/>
  <c r="P62" i="1"/>
  <c r="P64" i="1"/>
  <c r="R64" i="1" s="1"/>
  <c r="P65" i="1"/>
  <c r="P66" i="1"/>
  <c r="P69" i="1"/>
  <c r="R69" i="1" s="1"/>
  <c r="P72" i="1"/>
  <c r="R72" i="1" s="1"/>
  <c r="P83" i="1"/>
  <c r="P84" i="1"/>
  <c r="P85" i="1"/>
  <c r="R85" i="1" s="1"/>
  <c r="P86" i="1"/>
  <c r="R86" i="1" s="1"/>
  <c r="P87" i="1"/>
  <c r="X87" i="1" s="1"/>
  <c r="P88" i="1"/>
  <c r="X88" i="1" s="1"/>
  <c r="P89" i="1"/>
  <c r="X89" i="1" s="1"/>
  <c r="P90" i="1"/>
  <c r="X90" i="1" s="1"/>
  <c r="P99" i="1"/>
  <c r="X99" i="1" s="1"/>
  <c r="P100" i="1"/>
  <c r="X100" i="1" s="1"/>
  <c r="P101" i="1"/>
  <c r="X101" i="1" s="1"/>
  <c r="P102" i="1"/>
  <c r="X102" i="1" s="1"/>
  <c r="P111" i="1"/>
  <c r="Q7" i="1"/>
  <c r="Q6" i="1"/>
  <c r="Q5" i="1"/>
  <c r="R7" i="1" l="1"/>
  <c r="T10" i="1"/>
  <c r="R6" i="1"/>
  <c r="R40" i="1"/>
  <c r="T43" i="1"/>
  <c r="R82" i="1"/>
  <c r="R44" i="1"/>
  <c r="T40" i="1"/>
  <c r="R50" i="1"/>
  <c r="T82" i="1"/>
  <c r="R49" i="1"/>
  <c r="R47" i="1"/>
  <c r="R12" i="1"/>
  <c r="R11" i="1"/>
  <c r="BA41" i="10"/>
  <c r="BA42" i="10"/>
  <c r="BA43" i="10"/>
  <c r="BA44" i="10"/>
  <c r="BA45" i="10"/>
  <c r="BA46" i="10"/>
  <c r="BA47" i="10"/>
  <c r="BA48" i="10"/>
  <c r="BA49" i="10"/>
  <c r="BA50" i="10"/>
  <c r="BA51" i="10"/>
  <c r="BA52" i="10"/>
  <c r="BA53" i="10"/>
  <c r="BA54" i="10"/>
  <c r="BA55" i="10"/>
  <c r="BA56" i="10"/>
  <c r="BA57" i="10"/>
  <c r="BA58" i="10"/>
  <c r="BA59" i="10"/>
  <c r="BA60" i="10"/>
  <c r="AZ41" i="10"/>
  <c r="AZ42" i="10"/>
  <c r="AZ43" i="10"/>
  <c r="AZ44" i="10"/>
  <c r="AZ45" i="10"/>
  <c r="AZ46" i="10"/>
  <c r="AZ47" i="10"/>
  <c r="AZ48" i="10"/>
  <c r="AZ49" i="10"/>
  <c r="AZ50" i="10"/>
  <c r="AZ51" i="10"/>
  <c r="AZ52" i="10"/>
  <c r="AZ53" i="10"/>
  <c r="AZ54" i="10"/>
  <c r="AZ55" i="10"/>
  <c r="AZ56" i="10"/>
  <c r="AZ57" i="10"/>
  <c r="AZ58" i="10"/>
  <c r="AZ59" i="10"/>
  <c r="AZ60" i="10"/>
  <c r="BA40" i="10"/>
  <c r="AZ40" i="10"/>
  <c r="AY41" i="10"/>
  <c r="AY42" i="10"/>
  <c r="AY43" i="10"/>
  <c r="AY44" i="10"/>
  <c r="AY45" i="10"/>
  <c r="AY46" i="10"/>
  <c r="AY47" i="10"/>
  <c r="AY48" i="10"/>
  <c r="AY49" i="10"/>
  <c r="AY50" i="10"/>
  <c r="AY51" i="10"/>
  <c r="AY52" i="10"/>
  <c r="AY53" i="10"/>
  <c r="AY54" i="10"/>
  <c r="AY55" i="10"/>
  <c r="AY56" i="10"/>
  <c r="AY57" i="10"/>
  <c r="AY58" i="10"/>
  <c r="AY59" i="10"/>
  <c r="AY60" i="10"/>
  <c r="AY40" i="10"/>
  <c r="BA61" i="10"/>
  <c r="AZ61" i="10"/>
  <c r="I223" i="1"/>
  <c r="I222" i="1"/>
  <c r="I221" i="1"/>
  <c r="I220" i="1"/>
  <c r="I219" i="1"/>
  <c r="I217" i="1"/>
  <c r="I218" i="1"/>
  <c r="I216" i="1"/>
  <c r="I215" i="1"/>
  <c r="I212" i="1"/>
  <c r="I206" i="1"/>
  <c r="I209" i="1"/>
  <c r="I203" i="1"/>
  <c r="I200" i="1"/>
  <c r="I199" i="1"/>
  <c r="I198" i="1"/>
  <c r="I197" i="1"/>
  <c r="I196" i="1"/>
  <c r="I195" i="1"/>
  <c r="I194" i="1"/>
  <c r="I191" i="1"/>
  <c r="I190" i="1"/>
  <c r="I189" i="1"/>
  <c r="I188" i="1"/>
  <c r="I187" i="1"/>
  <c r="I186" i="1"/>
  <c r="I184" i="1"/>
  <c r="I183" i="1"/>
  <c r="I182" i="1"/>
  <c r="I181" i="1"/>
  <c r="I180" i="1"/>
  <c r="I179" i="1"/>
  <c r="I178" i="1"/>
  <c r="I177" i="1"/>
  <c r="I176" i="1"/>
  <c r="I175" i="1"/>
  <c r="I174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09" i="1"/>
  <c r="I108" i="1"/>
  <c r="I107" i="1"/>
  <c r="I106" i="1"/>
  <c r="I104" i="1"/>
  <c r="I105" i="1"/>
  <c r="I103" i="1"/>
  <c r="I102" i="1"/>
  <c r="I101" i="1"/>
  <c r="I100" i="1"/>
  <c r="I99" i="1"/>
  <c r="I98" i="1"/>
  <c r="I97" i="1"/>
  <c r="I96" i="1"/>
  <c r="I95" i="1"/>
  <c r="I94" i="1"/>
  <c r="I91" i="1"/>
  <c r="I90" i="1"/>
  <c r="I89" i="1"/>
  <c r="I88" i="1"/>
  <c r="I87" i="1"/>
  <c r="I86" i="1"/>
  <c r="I85" i="1"/>
  <c r="I84" i="1"/>
  <c r="I83" i="1"/>
  <c r="I82" i="1"/>
  <c r="I79" i="1"/>
  <c r="I76" i="1"/>
  <c r="I75" i="1"/>
  <c r="I72" i="1"/>
  <c r="I69" i="1"/>
  <c r="I66" i="1"/>
  <c r="I65" i="1"/>
  <c r="I64" i="1"/>
  <c r="I62" i="1"/>
  <c r="I59" i="1"/>
  <c r="I57" i="1"/>
  <c r="I56" i="1"/>
  <c r="I53" i="1"/>
  <c r="I50" i="1"/>
  <c r="I49" i="1"/>
  <c r="I46" i="1"/>
  <c r="I47" i="1"/>
  <c r="I48" i="1"/>
  <c r="I45" i="1"/>
  <c r="I44" i="1"/>
  <c r="I42" i="1"/>
  <c r="I43" i="1"/>
  <c r="I41" i="1"/>
  <c r="I37" i="1"/>
  <c r="I34" i="1"/>
  <c r="I33" i="1"/>
  <c r="I32" i="1"/>
  <c r="I29" i="1"/>
  <c r="I26" i="1"/>
  <c r="I25" i="1"/>
  <c r="I24" i="1"/>
  <c r="I23" i="1"/>
  <c r="I20" i="1"/>
  <c r="I17" i="1"/>
  <c r="I16" i="1"/>
  <c r="I15" i="1"/>
  <c r="I8" i="1"/>
  <c r="I9" i="1"/>
  <c r="I10" i="1"/>
  <c r="I11" i="1"/>
  <c r="I14" i="1"/>
  <c r="I13" i="1"/>
  <c r="I12" i="1"/>
  <c r="K222" i="1" l="1"/>
  <c r="K223" i="1"/>
  <c r="K221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20" i="1"/>
  <c r="K23" i="1"/>
  <c r="K24" i="1"/>
  <c r="K25" i="1"/>
  <c r="K26" i="1"/>
  <c r="K29" i="1"/>
  <c r="K32" i="1"/>
  <c r="K33" i="1"/>
  <c r="K34" i="1"/>
  <c r="K37" i="1"/>
  <c r="I39" i="1"/>
  <c r="K39" i="1" s="1"/>
  <c r="K41" i="1"/>
  <c r="K42" i="1"/>
  <c r="K43" i="1"/>
  <c r="K44" i="1"/>
  <c r="K45" i="1"/>
  <c r="K46" i="1"/>
  <c r="K47" i="1"/>
  <c r="K48" i="1"/>
  <c r="K49" i="1"/>
  <c r="K50" i="1"/>
  <c r="K53" i="1"/>
  <c r="K56" i="1"/>
  <c r="K57" i="1"/>
  <c r="K59" i="1"/>
  <c r="K62" i="1"/>
  <c r="K64" i="1"/>
  <c r="K65" i="1"/>
  <c r="K66" i="1"/>
  <c r="K69" i="1"/>
  <c r="K72" i="1"/>
  <c r="K75" i="1"/>
  <c r="K76" i="1"/>
  <c r="K79" i="1"/>
  <c r="K82" i="1"/>
  <c r="K83" i="1"/>
  <c r="K84" i="1"/>
  <c r="K85" i="1"/>
  <c r="K86" i="1"/>
  <c r="K87" i="1"/>
  <c r="K88" i="1"/>
  <c r="K89" i="1"/>
  <c r="K90" i="1"/>
  <c r="K91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1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4" i="1"/>
  <c r="K175" i="1"/>
  <c r="K176" i="1"/>
  <c r="K177" i="1"/>
  <c r="K178" i="1"/>
  <c r="K179" i="1"/>
  <c r="K180" i="1"/>
  <c r="K181" i="1"/>
  <c r="K182" i="1"/>
  <c r="K183" i="1"/>
  <c r="K184" i="1"/>
  <c r="K186" i="1"/>
  <c r="K187" i="1"/>
  <c r="K188" i="1"/>
  <c r="K189" i="1"/>
  <c r="K190" i="1"/>
  <c r="K191" i="1"/>
  <c r="K194" i="1"/>
  <c r="K195" i="1"/>
  <c r="K196" i="1"/>
  <c r="K197" i="1"/>
  <c r="K198" i="1"/>
  <c r="K199" i="1"/>
  <c r="K200" i="1"/>
  <c r="K203" i="1"/>
  <c r="K206" i="1"/>
  <c r="K209" i="1"/>
  <c r="K212" i="1"/>
  <c r="K215" i="1"/>
  <c r="K216" i="1"/>
  <c r="K217" i="1"/>
  <c r="K218" i="1"/>
  <c r="K219" i="1"/>
  <c r="K220" i="1"/>
  <c r="P126" i="1" l="1"/>
  <c r="P150" i="1"/>
  <c r="K225" i="1"/>
  <c r="K4" i="1"/>
</calcChain>
</file>

<file path=xl/comments1.xml><?xml version="1.0" encoding="utf-8"?>
<comments xmlns="http://schemas.openxmlformats.org/spreadsheetml/2006/main">
  <authors>
    <author>tc={31CB0A8B-3366-463D-83A4-FF7818EDFACA}</author>
    <author>tc={05E52AEC-9D9C-44BC-8BDA-2A839E8D265D}</author>
  </authors>
  <commentList>
    <comment ref="O1" authorId="0" shapeId="0">
      <text>
        <r>
          <rPr>
            <sz val="11"/>
            <color theme="1"/>
            <rFont val="Calibri"/>
            <family val="2"/>
            <charset val="204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цена за кв.м корпуса</t>
        </r>
      </text>
    </comment>
    <comment ref="P1" authorId="1" shapeId="0">
      <text>
        <r>
          <rPr>
            <sz val="11"/>
            <color theme="1"/>
            <rFont val="Calibri"/>
            <family val="2"/>
            <charset val="204"/>
            <scheme val="minor"/>
          </rPr>
          <t>[Цепочка примечаний]
Ваша версия Excel позволяет прочитать эту цепочку примечаний, но если открыть файл в более поздней версии Excel, все внесенные в нее изменения будут удалены. Подробнее: https://go.microsoft.com/fwlink/?linkid=870924
Комментарий:
    цена за ферезровку боковины под ручку Gol</t>
        </r>
      </text>
    </comment>
  </commentList>
</comments>
</file>

<file path=xl/connections.xml><?xml version="1.0" encoding="utf-8"?>
<connections xmlns="http://schemas.openxmlformats.org/spreadsheetml/2006/main">
  <connection id="1" keepAlive="1" name="Запрос — Лист1" description="Соединение с запросом &quot;Лист1&quot; в книге." type="5" refreshedVersion="7" background="1" saveData="1">
    <dbPr connection="Provider=Microsoft.Mashup.OleDb.1;Data Source=$Workbook$;Location=Лист1;Extended Properties=&quot;&quot;" command="SELECT * FROM [Лист1]"/>
  </connection>
  <connection id="2" keepAlive="1" name="Запрос — ТаблицаКорпус" description="Соединение с запросом &quot;ТаблицаКорпус&quot; в книге." type="5" refreshedVersion="6" background="1" refreshOnLoad="1" saveData="1">
    <dbPr connection="Provider=Microsoft.Mashup.OleDb.1;Data Source=$Workbook$;Location=ТаблицаКорпус;Extended Properties=&quot;&quot;" command="SELECT * FROM [ТаблицаКорпус]"/>
  </connection>
  <connection id="3" keepAlive="1" name="Запрос — ТаблицаКорпус (2)" description="Соединение с запросом &quot;ТаблицаКорпус (2)&quot; в книге." type="5" refreshedVersion="6" background="1" refreshOnLoad="1" saveData="1">
    <dbPr connection="Provider=Microsoft.Mashup.OleDb.1;Data Source=$Workbook$;Location=ТаблицаКорпус (2);Extended Properties=&quot;&quot;" command="SELECT * FROM [ТаблицаКорпус (2)]"/>
  </connection>
</connections>
</file>

<file path=xl/sharedStrings.xml><?xml version="1.0" encoding="utf-8"?>
<sst xmlns="http://schemas.openxmlformats.org/spreadsheetml/2006/main" count="802" uniqueCount="599">
  <si>
    <t>Артикул</t>
  </si>
  <si>
    <t>Высота</t>
  </si>
  <si>
    <t>Ширина</t>
  </si>
  <si>
    <t>Глубина</t>
  </si>
  <si>
    <t>Стоимость</t>
  </si>
  <si>
    <t>NGUP110M</t>
  </si>
  <si>
    <t>NGUP111M</t>
  </si>
  <si>
    <t>NGUP112M</t>
  </si>
  <si>
    <t>NGUP113M</t>
  </si>
  <si>
    <t>NGUP110</t>
  </si>
  <si>
    <t>NGUP111</t>
  </si>
  <si>
    <t>NGUP112</t>
  </si>
  <si>
    <t>NGUP113</t>
  </si>
  <si>
    <t>Примечание</t>
  </si>
  <si>
    <t>NG110M</t>
  </si>
  <si>
    <t>NGUP210_L</t>
  </si>
  <si>
    <t>NGUP210_R</t>
  </si>
  <si>
    <t>NG120M</t>
  </si>
  <si>
    <t>NG210M</t>
  </si>
  <si>
    <t>NG210K</t>
  </si>
  <si>
    <t>NG110</t>
  </si>
  <si>
    <t>NG120</t>
  </si>
  <si>
    <t>NG210</t>
  </si>
  <si>
    <t>NG211</t>
  </si>
  <si>
    <t>NG212</t>
  </si>
  <si>
    <t>NG220</t>
  </si>
  <si>
    <t>NG221</t>
  </si>
  <si>
    <t>NG222</t>
  </si>
  <si>
    <t>NG221VP</t>
  </si>
  <si>
    <t>NG230</t>
  </si>
  <si>
    <t>Модули с профилем GOLA</t>
  </si>
  <si>
    <t>Сумма</t>
  </si>
  <si>
    <t>Классические модули</t>
  </si>
  <si>
    <t>Кол-во</t>
  </si>
  <si>
    <t>NUP110M</t>
  </si>
  <si>
    <t>NUP111M</t>
  </si>
  <si>
    <t>NUP112M</t>
  </si>
  <si>
    <t>NUP113M</t>
  </si>
  <si>
    <t>NUP110</t>
  </si>
  <si>
    <t>NUP111</t>
  </si>
  <si>
    <t>NUP112</t>
  </si>
  <si>
    <t>NUP113</t>
  </si>
  <si>
    <t>N110M</t>
  </si>
  <si>
    <t>N120M</t>
  </si>
  <si>
    <t>NUP210_L</t>
  </si>
  <si>
    <t>NUP210_R</t>
  </si>
  <si>
    <t>N210M</t>
  </si>
  <si>
    <t>N110</t>
  </si>
  <si>
    <t>N120</t>
  </si>
  <si>
    <t>N210</t>
  </si>
  <si>
    <t>N211</t>
  </si>
  <si>
    <t>N220</t>
  </si>
  <si>
    <t>N221</t>
  </si>
  <si>
    <t>N230</t>
  </si>
  <si>
    <t>N110K</t>
  </si>
  <si>
    <t>N231</t>
  </si>
  <si>
    <t>N232</t>
  </si>
  <si>
    <t>N240</t>
  </si>
  <si>
    <t>NUT110</t>
  </si>
  <si>
    <t>NU120</t>
  </si>
  <si>
    <t>NUT110M</t>
  </si>
  <si>
    <t>NU120M</t>
  </si>
  <si>
    <t>NUR110R240</t>
  </si>
  <si>
    <t>NUR110R240M</t>
  </si>
  <si>
    <t>NUR110R100</t>
  </si>
  <si>
    <t>NUR110R100M</t>
  </si>
  <si>
    <t>N000</t>
  </si>
  <si>
    <t>N001</t>
  </si>
  <si>
    <t>N211SVC</t>
  </si>
  <si>
    <t>NUT210D</t>
  </si>
  <si>
    <t>NZR111R100</t>
  </si>
  <si>
    <t>NZR110R240</t>
  </si>
  <si>
    <t>NZR120R100</t>
  </si>
  <si>
    <t>NZR110R100</t>
  </si>
  <si>
    <t>NZR120R240</t>
  </si>
  <si>
    <t>NZ000</t>
  </si>
  <si>
    <t>NZ001</t>
  </si>
  <si>
    <t>NZ002</t>
  </si>
  <si>
    <t>N420D</t>
  </si>
  <si>
    <t>N212D</t>
  </si>
  <si>
    <t>N222D</t>
  </si>
  <si>
    <t>N233D</t>
  </si>
  <si>
    <t>N213D</t>
  </si>
  <si>
    <t>Пеналы с профилем Gola</t>
  </si>
  <si>
    <t>PG430D</t>
  </si>
  <si>
    <t>PG431D</t>
  </si>
  <si>
    <t>PG432D</t>
  </si>
  <si>
    <t>PG440D</t>
  </si>
  <si>
    <t>PG441D</t>
  </si>
  <si>
    <t>PG442D</t>
  </si>
  <si>
    <t>PG443D</t>
  </si>
  <si>
    <t>PG444D</t>
  </si>
  <si>
    <t>PG450D</t>
  </si>
  <si>
    <t>PG120D</t>
  </si>
  <si>
    <t>PG130D</t>
  </si>
  <si>
    <t>PG420D</t>
  </si>
  <si>
    <t>PG433D</t>
  </si>
  <si>
    <t>PG421D</t>
  </si>
  <si>
    <t>PG434DSVC</t>
  </si>
  <si>
    <t>PG435DSVC</t>
  </si>
  <si>
    <t>PG436DSVC</t>
  </si>
  <si>
    <t>PG437DSVC</t>
  </si>
  <si>
    <t>PG445DSVC</t>
  </si>
  <si>
    <t>PG422DSVC</t>
  </si>
  <si>
    <t>PG121DSVC</t>
  </si>
  <si>
    <t>PG438DSVC</t>
  </si>
  <si>
    <t>PG423DSVC</t>
  </si>
  <si>
    <t>PG439DSVC</t>
  </si>
  <si>
    <t>PG424DSVC</t>
  </si>
  <si>
    <t>PG4310DSVC</t>
  </si>
  <si>
    <t>PG425DSVC</t>
  </si>
  <si>
    <t>PG4311</t>
  </si>
  <si>
    <t>PG122</t>
  </si>
  <si>
    <t>Классические пеналы</t>
  </si>
  <si>
    <t>P430D</t>
  </si>
  <si>
    <t>P440D</t>
  </si>
  <si>
    <t>P540D</t>
  </si>
  <si>
    <t>P441D</t>
  </si>
  <si>
    <t>P442D</t>
  </si>
  <si>
    <t>P550D</t>
  </si>
  <si>
    <t>P130D</t>
  </si>
  <si>
    <t>P120D</t>
  </si>
  <si>
    <t>P431D</t>
  </si>
  <si>
    <t>P420D</t>
  </si>
  <si>
    <t>P432D</t>
  </si>
  <si>
    <t>P443DSVC</t>
  </si>
  <si>
    <t>P444DSVC</t>
  </si>
  <si>
    <t>P121DSVC</t>
  </si>
  <si>
    <t>P421DSVC</t>
  </si>
  <si>
    <t>P433</t>
  </si>
  <si>
    <t>P422DSVC</t>
  </si>
  <si>
    <t>P123</t>
  </si>
  <si>
    <t>P124</t>
  </si>
  <si>
    <t>P125</t>
  </si>
  <si>
    <t>P111</t>
  </si>
  <si>
    <t>P210K</t>
  </si>
  <si>
    <t>P211K</t>
  </si>
  <si>
    <t>P130H</t>
  </si>
  <si>
    <t>P630H</t>
  </si>
  <si>
    <t>P126H</t>
  </si>
  <si>
    <t>Верхние модули</t>
  </si>
  <si>
    <t>VUP110</t>
  </si>
  <si>
    <t>VUP111</t>
  </si>
  <si>
    <t>VUP112</t>
  </si>
  <si>
    <t>VUP113</t>
  </si>
  <si>
    <t>V320</t>
  </si>
  <si>
    <t>V321</t>
  </si>
  <si>
    <t>VUT110</t>
  </si>
  <si>
    <t>VUT111</t>
  </si>
  <si>
    <t>VU120</t>
  </si>
  <si>
    <t>VUR110R100</t>
  </si>
  <si>
    <t>VUR110R240</t>
  </si>
  <si>
    <t>V000</t>
  </si>
  <si>
    <t>Ширина фасада равна ширина корпуса минус глубина смежного модуля минус размер углового элемента</t>
  </si>
  <si>
    <t>V110</t>
  </si>
  <si>
    <t>V111</t>
  </si>
  <si>
    <t>V112</t>
  </si>
  <si>
    <t>V120</t>
  </si>
  <si>
    <t>V324S</t>
  </si>
  <si>
    <t>V325S</t>
  </si>
  <si>
    <t>V326S</t>
  </si>
  <si>
    <t>V327</t>
  </si>
  <si>
    <t>V322</t>
  </si>
  <si>
    <t>V323</t>
  </si>
  <si>
    <t>V328</t>
  </si>
  <si>
    <t>V328S</t>
  </si>
  <si>
    <t>V122S</t>
  </si>
  <si>
    <t>V123S</t>
  </si>
  <si>
    <t>V310</t>
  </si>
  <si>
    <t>V311</t>
  </si>
  <si>
    <t>V312</t>
  </si>
  <si>
    <t>VZ110</t>
  </si>
  <si>
    <t>VZ111R240</t>
  </si>
  <si>
    <t>VZR111R100</t>
  </si>
  <si>
    <t>V112S</t>
  </si>
  <si>
    <t>V121S</t>
  </si>
  <si>
    <t>Общая сумма</t>
  </si>
  <si>
    <t>Позиция</t>
  </si>
  <si>
    <t>NGPM</t>
  </si>
  <si>
    <t>Указывается если нужен фасад на ПММ под профиль Gola</t>
  </si>
  <si>
    <t>NPM</t>
  </si>
  <si>
    <t>Указывается если нужен фасад на ПММ</t>
  </si>
  <si>
    <t>Изображение</t>
  </si>
  <si>
    <t>Адрес фотки</t>
  </si>
  <si>
    <t>Кол-во модулей</t>
  </si>
  <si>
    <t>NGUP110M.jpg</t>
  </si>
  <si>
    <t>NGUP111M.jpg</t>
  </si>
  <si>
    <t>NGUP112M.jpg</t>
  </si>
  <si>
    <t>NGUP113M.jpg</t>
  </si>
  <si>
    <t>NGUP110.jpg</t>
  </si>
  <si>
    <t>NGUP111.jpg</t>
  </si>
  <si>
    <t>NGUP112.jpg</t>
  </si>
  <si>
    <t>NGUP113.jpg</t>
  </si>
  <si>
    <t>NGUP210_L.jpg</t>
  </si>
  <si>
    <t>NGUP210_R.jpg</t>
  </si>
  <si>
    <t>NG110M.jpg</t>
  </si>
  <si>
    <t>NG120M.jpg</t>
  </si>
  <si>
    <t>NG210M.jpg</t>
  </si>
  <si>
    <t>NG210K.jpg</t>
  </si>
  <si>
    <t>NG110.jpg</t>
  </si>
  <si>
    <t>NG120.jpg</t>
  </si>
  <si>
    <t>NG210.jpg</t>
  </si>
  <si>
    <t>NG211.jpg</t>
  </si>
  <si>
    <t>NG212.jpg</t>
  </si>
  <si>
    <t>NG220.jpg</t>
  </si>
  <si>
    <t>NG221.jpg</t>
  </si>
  <si>
    <t>NG222.jpg</t>
  </si>
  <si>
    <t>NG221VP.jpg</t>
  </si>
  <si>
    <t>NG230.jpg</t>
  </si>
  <si>
    <t>NGPM.jpg</t>
  </si>
  <si>
    <t>NUP110M.jpg</t>
  </si>
  <si>
    <t>NUP111M.jpg</t>
  </si>
  <si>
    <t>NUP112M.jpg</t>
  </si>
  <si>
    <t>NUP113M.jpg</t>
  </si>
  <si>
    <t>NUP110.jpg</t>
  </si>
  <si>
    <t>NUP111.jpg</t>
  </si>
  <si>
    <t>NUP112.jpg</t>
  </si>
  <si>
    <t>NUP113.jpg</t>
  </si>
  <si>
    <t>NUP210_L.jpg</t>
  </si>
  <si>
    <t>NUP210_R.jpg</t>
  </si>
  <si>
    <t>N110M.jpg</t>
  </si>
  <si>
    <t>N120M.jpg</t>
  </si>
  <si>
    <t>N210M.jpg</t>
  </si>
  <si>
    <t>N110K.jpg</t>
  </si>
  <si>
    <t>N110.jpg</t>
  </si>
  <si>
    <t>N120.jpg</t>
  </si>
  <si>
    <t>N210.jpg</t>
  </si>
  <si>
    <t>N211.jpg</t>
  </si>
  <si>
    <t>N220.jpg</t>
  </si>
  <si>
    <t>N221.jpg</t>
  </si>
  <si>
    <t>N230.jpg</t>
  </si>
  <si>
    <t>N231.jpg</t>
  </si>
  <si>
    <t>N232.jpg</t>
  </si>
  <si>
    <t>N240.jpg</t>
  </si>
  <si>
    <t>NUT110.jpg</t>
  </si>
  <si>
    <t>NUT110M.jpg</t>
  </si>
  <si>
    <t>NU120.jpg</t>
  </si>
  <si>
    <t>NU120M.jpg</t>
  </si>
  <si>
    <t>NUR110R240.jpg</t>
  </si>
  <si>
    <t>NUR110R240M.jpg</t>
  </si>
  <si>
    <t>NUR110R100.jpg</t>
  </si>
  <si>
    <t>NUR110R100M.jpg</t>
  </si>
  <si>
    <t>N000.jpg</t>
  </si>
  <si>
    <t>N001.jpg</t>
  </si>
  <si>
    <t>N211SVC.jpg</t>
  </si>
  <si>
    <t>NUT210D.jpg</t>
  </si>
  <si>
    <t>N212D.jpg</t>
  </si>
  <si>
    <t>NZR111R100.jpg</t>
  </si>
  <si>
    <t>NZR110R240.jpg</t>
  </si>
  <si>
    <t>NZR120R100.jpg</t>
  </si>
  <si>
    <t>NZR110R100.jpg</t>
  </si>
  <si>
    <t>NZR120R240.jpg</t>
  </si>
  <si>
    <t>NZ000.jpg</t>
  </si>
  <si>
    <t>NZ001.jpg</t>
  </si>
  <si>
    <t>NZ002.jpg</t>
  </si>
  <si>
    <t>N420D.jpg</t>
  </si>
  <si>
    <t>N222D.jpg</t>
  </si>
  <si>
    <t>N233D.jpg</t>
  </si>
  <si>
    <t>N213D.jpg</t>
  </si>
  <si>
    <t>NPM.jpg</t>
  </si>
  <si>
    <t>PG430D.jpg</t>
  </si>
  <si>
    <t>PG431D.jpg</t>
  </si>
  <si>
    <t>PG432D.jpg</t>
  </si>
  <si>
    <t>PG440D.jpg</t>
  </si>
  <si>
    <t>PG441D.jpg</t>
  </si>
  <si>
    <t>PG442D.jpg</t>
  </si>
  <si>
    <t>PG443D.jpg</t>
  </si>
  <si>
    <t>PG444D.jpg</t>
  </si>
  <si>
    <t>PG450D.jpg</t>
  </si>
  <si>
    <t>PG120D.jpg</t>
  </si>
  <si>
    <t>PG130D.jpg</t>
  </si>
  <si>
    <t>PG420D.jpg</t>
  </si>
  <si>
    <t>PG433D.jpg</t>
  </si>
  <si>
    <t>PG421D.jpg</t>
  </si>
  <si>
    <t>PG434DSVC.jpg</t>
  </si>
  <si>
    <t>PG435DSVC.jpg</t>
  </si>
  <si>
    <t>PG436DSVC.jpg</t>
  </si>
  <si>
    <t>PG437DSVC.jpg</t>
  </si>
  <si>
    <t>PG445DSVC.jpg</t>
  </si>
  <si>
    <t>PG422DSVC.jpg</t>
  </si>
  <si>
    <t>PG121DSVC.jpg</t>
  </si>
  <si>
    <t>PG438DSVC.jpg</t>
  </si>
  <si>
    <t>PG423DSVC.jpg</t>
  </si>
  <si>
    <t>PG439DSVC.jpg</t>
  </si>
  <si>
    <t>PG424DSVC.jpg</t>
  </si>
  <si>
    <t>PG4310DSVC.jpg</t>
  </si>
  <si>
    <t>PG425DSVC.jpg</t>
  </si>
  <si>
    <t>PG4311.jpg</t>
  </si>
  <si>
    <t>PG122.jpg</t>
  </si>
  <si>
    <t>P430D.jpg</t>
  </si>
  <si>
    <t>P440D.jpg</t>
  </si>
  <si>
    <t>P540D.jpg</t>
  </si>
  <si>
    <t>P441D.jpg</t>
  </si>
  <si>
    <t>P442D.jpg</t>
  </si>
  <si>
    <t>P550D.jpg</t>
  </si>
  <si>
    <t>P130D.jpg</t>
  </si>
  <si>
    <t>P120D.jpg</t>
  </si>
  <si>
    <t>P431D.jpg</t>
  </si>
  <si>
    <t>P420D.jpg</t>
  </si>
  <si>
    <t>P432D.jpg</t>
  </si>
  <si>
    <t>P443DSVC.jpg</t>
  </si>
  <si>
    <t>P444DSVC.jpg</t>
  </si>
  <si>
    <t>P121DSVC.jpg</t>
  </si>
  <si>
    <t>P421DSVC.jpg</t>
  </si>
  <si>
    <t>P422DSVC.jpg</t>
  </si>
  <si>
    <t>P433.jpg</t>
  </si>
  <si>
    <t>P123.jpg</t>
  </si>
  <si>
    <t>P124.jpg</t>
  </si>
  <si>
    <t>P125.jpg</t>
  </si>
  <si>
    <t>P111.jpg</t>
  </si>
  <si>
    <t>P210K.jpg</t>
  </si>
  <si>
    <t>P211K.jpg</t>
  </si>
  <si>
    <t>P130H.jpg</t>
  </si>
  <si>
    <t>P630H.jpg</t>
  </si>
  <si>
    <t>P126H.jpg</t>
  </si>
  <si>
    <t>VUP110.jpg</t>
  </si>
  <si>
    <t>VUP111.jpg</t>
  </si>
  <si>
    <t>VUP112.jpg</t>
  </si>
  <si>
    <t>VUP113.jpg</t>
  </si>
  <si>
    <t>V320.jpg</t>
  </si>
  <si>
    <t>V321.jpg</t>
  </si>
  <si>
    <t>VUT110.jpg</t>
  </si>
  <si>
    <t>VUT111.jpg</t>
  </si>
  <si>
    <t>VU120.jpg</t>
  </si>
  <si>
    <t>VUR110R100.jpg</t>
  </si>
  <si>
    <t>VUR110R240.jpg</t>
  </si>
  <si>
    <t>V000.jpg</t>
  </si>
  <si>
    <t>V110.jpg</t>
  </si>
  <si>
    <t>V111.jpg</t>
  </si>
  <si>
    <t>V324S.jpg</t>
  </si>
  <si>
    <t>V325S.jpg</t>
  </si>
  <si>
    <t>V326S.jpg</t>
  </si>
  <si>
    <t>V327.jpg</t>
  </si>
  <si>
    <t>V322.jpg</t>
  </si>
  <si>
    <t>V323.jpg</t>
  </si>
  <si>
    <t>V328.jpg</t>
  </si>
  <si>
    <t>V328S.jpg</t>
  </si>
  <si>
    <t>V122S.jpg</t>
  </si>
  <si>
    <t>V123S.jpg</t>
  </si>
  <si>
    <t>V310.jpg</t>
  </si>
  <si>
    <t>V311.jpg</t>
  </si>
  <si>
    <t>V312.jpg</t>
  </si>
  <si>
    <t>V112.jpg</t>
  </si>
  <si>
    <t>V120.jpg</t>
  </si>
  <si>
    <t>VZ110.jpg</t>
  </si>
  <si>
    <t>VZ111R240.jpg</t>
  </si>
  <si>
    <t>VZR111R100.jpg</t>
  </si>
  <si>
    <t>V112S.jpg</t>
  </si>
  <si>
    <t>V121S.jpg</t>
  </si>
  <si>
    <t>P530DSVC</t>
  </si>
  <si>
    <t>P530DSVC.jpg</t>
  </si>
  <si>
    <t>P110</t>
  </si>
  <si>
    <t>P122</t>
  </si>
  <si>
    <t>P131</t>
  </si>
  <si>
    <t>P110.jpg</t>
  </si>
  <si>
    <t>P122.jpg</t>
  </si>
  <si>
    <t>P131.jpg</t>
  </si>
  <si>
    <t>VZ000</t>
  </si>
  <si>
    <t>VZ002</t>
  </si>
  <si>
    <t>VZ001</t>
  </si>
  <si>
    <t>VZ000.jpg</t>
  </si>
  <si>
    <t>VZ001.jpg</t>
  </si>
  <si>
    <t>VZ002.jpg</t>
  </si>
  <si>
    <t>Комментарии</t>
  </si>
  <si>
    <t>**-Комментарии писать в разделе "Калькулятор"</t>
  </si>
  <si>
    <t>***-Секции под вытяжку, сложную встройку или некорпусные изделия расчитываются технологом по подготовленному клиентом эскизу.</t>
  </si>
  <si>
    <t>Кол-во полок</t>
  </si>
  <si>
    <t>Изменение ширины и глубины не предусмотрено ввиду того, что радиусный фасад по ширине не может быть увеличен.</t>
  </si>
  <si>
    <t>Изменение ширины не предусмотрено ввиду того, что радиусный фасад по ширине не может быть увеличен.</t>
  </si>
  <si>
    <t>*-После манипуляций в калькуляторе выбрать любое поле в отчете и нажать Правая_Кнопка_Мыши-&gt;"Обновить"</t>
  </si>
  <si>
    <t>****-Расчет стоимости корпуса ведется из учета ЛДСП Kronospan 18мм, без учета крепежа.</t>
  </si>
  <si>
    <t>Номер заказа*:</t>
  </si>
  <si>
    <t>Дата:</t>
  </si>
  <si>
    <t>Мобильный номер* :</t>
  </si>
  <si>
    <t>Контрагент*:</t>
  </si>
  <si>
    <t>Пластик Акрил</t>
  </si>
  <si>
    <t>email*:</t>
  </si>
  <si>
    <t>PUR*</t>
  </si>
  <si>
    <t>LASER*</t>
  </si>
  <si>
    <t>Фасады верх:</t>
  </si>
  <si>
    <t>кромка:</t>
  </si>
  <si>
    <t>структура*:</t>
  </si>
  <si>
    <t>Фасады средн.:</t>
  </si>
  <si>
    <t>В цвет</t>
  </si>
  <si>
    <t>Х</t>
  </si>
  <si>
    <t>высота</t>
  </si>
  <si>
    <t>Фасады низ:</t>
  </si>
  <si>
    <t>Фасады пенал:</t>
  </si>
  <si>
    <t>Фасад алюм:</t>
  </si>
  <si>
    <t>профиль/цвет:</t>
  </si>
  <si>
    <t>наполнение:</t>
  </si>
  <si>
    <t>петли:</t>
  </si>
  <si>
    <t>установка петель:</t>
  </si>
  <si>
    <t>да</t>
  </si>
  <si>
    <t>нет</t>
  </si>
  <si>
    <t>Столешница:</t>
  </si>
  <si>
    <t>толщина:</t>
  </si>
  <si>
    <t>Стеновая панель:</t>
  </si>
  <si>
    <t>Корпус ЛДСП 18мм верх:</t>
  </si>
  <si>
    <t>Корпус ЛДСП 18мм средн:</t>
  </si>
  <si>
    <t>Корпус ЛДСП 18мм низ:</t>
  </si>
  <si>
    <t>Корпус ЛДСП 18мм пенал:</t>
  </si>
  <si>
    <t>ЛДСП 16 мм:</t>
  </si>
  <si>
    <t xml:space="preserve"> ЛДСП 10 мм:</t>
  </si>
  <si>
    <t>ДВП:</t>
  </si>
  <si>
    <t>Стекло:</t>
  </si>
  <si>
    <t>полировка</t>
  </si>
  <si>
    <t>шлифовка</t>
  </si>
  <si>
    <t>Gola-профиль нижней базы:</t>
  </si>
  <si>
    <t>Сушка:</t>
  </si>
  <si>
    <t>ящик №:</t>
  </si>
  <si>
    <t>Цоколь:</t>
  </si>
  <si>
    <t>Gola-профиль верхней базы:</t>
  </si>
  <si>
    <t>Карго:</t>
  </si>
  <si>
    <t>Ручки:</t>
  </si>
  <si>
    <t>Вклеить Gola-профиль для верхней базы:</t>
  </si>
  <si>
    <t>Навески:</t>
  </si>
  <si>
    <t>Другое:</t>
  </si>
  <si>
    <t>Габариты модуля (без фасадов и опор), и наполнение фурнитурой:</t>
  </si>
  <si>
    <t>№ модуля</t>
  </si>
  <si>
    <t>габариты модуля (без фасадов и опор)</t>
  </si>
  <si>
    <t>петли</t>
  </si>
  <si>
    <t>система выдвиж.</t>
  </si>
  <si>
    <t>подъемные механизмы</t>
  </si>
  <si>
    <t>Blum</t>
  </si>
  <si>
    <t>Boyard</t>
  </si>
  <si>
    <t>Aventos Blum</t>
  </si>
  <si>
    <t>Лифт газовый</t>
  </si>
  <si>
    <t>артикул модуля</t>
  </si>
  <si>
    <t>ширина</t>
  </si>
  <si>
    <t>глубина</t>
  </si>
  <si>
    <t>тип модуля</t>
  </si>
  <si>
    <t>Tandembox Antaro</t>
  </si>
  <si>
    <t>Legrabox</t>
  </si>
  <si>
    <t>Start прямые бок.</t>
  </si>
  <si>
    <t>Start традиц. бок.</t>
  </si>
  <si>
    <t>Присадка необходима для*:</t>
  </si>
  <si>
    <t>корпусов</t>
  </si>
  <si>
    <t>фасадов</t>
  </si>
  <si>
    <t>Зазоры между фасадами:</t>
  </si>
  <si>
    <t>3 мм</t>
  </si>
  <si>
    <t>4 мм</t>
  </si>
  <si>
    <t>Сверление под ответные планки петель:</t>
  </si>
  <si>
    <t>евровинт</t>
  </si>
  <si>
    <t>саморез</t>
  </si>
  <si>
    <t>Ответная планка:</t>
  </si>
  <si>
    <t>прямая</t>
  </si>
  <si>
    <t>крестообразная</t>
  </si>
  <si>
    <t>Выдвижной ящик:</t>
  </si>
  <si>
    <t>материал дна:</t>
  </si>
  <si>
    <t>16/18мм</t>
  </si>
  <si>
    <t>10мм</t>
  </si>
  <si>
    <t>ДВП</t>
  </si>
  <si>
    <t>монтаж дна:</t>
  </si>
  <si>
    <t>в паз</t>
  </si>
  <si>
    <t>накладной</t>
  </si>
  <si>
    <t>передняя царга:</t>
  </si>
  <si>
    <t>есть</t>
  </si>
  <si>
    <t>крепление фасада:</t>
  </si>
  <si>
    <t>фасадный эксцентрик</t>
  </si>
  <si>
    <t>Кромление невидимых торцов (внутренняя часть царги, задний торец верхней базы):</t>
  </si>
  <si>
    <t>Кромление невидимых торцов (полка вкладная):</t>
  </si>
  <si>
    <t>Исполнитель оставляет за собой право на собственное решение неоговоренных вопросов, которое не влияет на функциональность и внешний вид изделия.</t>
  </si>
  <si>
    <t>*Основные поля (обязательны для заполнения)</t>
  </si>
  <si>
    <t>ДВП внахлест</t>
  </si>
  <si>
    <t>ДВП в четверть</t>
  </si>
  <si>
    <t>ДВП в паз</t>
  </si>
  <si>
    <t>ДСП</t>
  </si>
  <si>
    <t>Базовые размеры модуля</t>
  </si>
  <si>
    <t>Фасад 1 Высота</t>
  </si>
  <si>
    <t>Фасад 1 Ширина</t>
  </si>
  <si>
    <t>Фасад 2 Высота</t>
  </si>
  <si>
    <t>Фасад 2 Ширина</t>
  </si>
  <si>
    <t>Фасад 3 Высота</t>
  </si>
  <si>
    <t>Фасад 3 Ширина</t>
  </si>
  <si>
    <t>Фасад 4 Высота</t>
  </si>
  <si>
    <t>0</t>
  </si>
  <si>
    <t>Ширина фасада равна ширина корпуса минус 600мм-3</t>
  </si>
  <si>
    <t>Ширина фасада равна ширина корпуса минус 623мм</t>
  </si>
  <si>
    <t>Ширина фасада равна ширина корпуса минус 603мм</t>
  </si>
  <si>
    <t>Ширина согласно размеру бутылочницы, для Каргобокс Blum min ширина 200мм</t>
  </si>
  <si>
    <t>Ширина фасада равна ширина корпуса минус 583мм</t>
  </si>
  <si>
    <t>Количество фасадов в модуле</t>
  </si>
  <si>
    <t>Фасад 4 Ширина</t>
  </si>
  <si>
    <t>Радиусный</t>
  </si>
  <si>
    <t>Д1</t>
  </si>
  <si>
    <t>Д2</t>
  </si>
  <si>
    <t>Ш2</t>
  </si>
  <si>
    <t>Д3</t>
  </si>
  <si>
    <t>Ш3</t>
  </si>
  <si>
    <t>Д4</t>
  </si>
  <si>
    <t>Ш4</t>
  </si>
  <si>
    <t>Ш1</t>
  </si>
  <si>
    <t>R</t>
  </si>
  <si>
    <t>м2</t>
  </si>
  <si>
    <t>10 EUR</t>
  </si>
  <si>
    <t>20 EUR</t>
  </si>
  <si>
    <t>Wood Synchro</t>
  </si>
  <si>
    <t>Категория</t>
  </si>
  <si>
    <t>Цена</t>
  </si>
  <si>
    <t>Стоимость R</t>
  </si>
  <si>
    <t>Стоимость м2</t>
  </si>
  <si>
    <t>Итого:</t>
  </si>
  <si>
    <t>Калькулятор корпусов V2.0</t>
  </si>
  <si>
    <t>Стоимость фасадов R</t>
  </si>
  <si>
    <t>Стоимость фасадов</t>
  </si>
  <si>
    <t>Категория ЛДСП</t>
  </si>
  <si>
    <t xml:space="preserve">курс </t>
  </si>
  <si>
    <t>Держатель Tip on</t>
  </si>
  <si>
    <t>плюс  узкая ал. Рамка // и большите фасады // петли</t>
  </si>
  <si>
    <t>плюс  узкая ал. Рамка // и большите фасады 43,7</t>
  </si>
  <si>
    <t>плюс  узкая ал. Рамка // и большите фасады // ограничитель</t>
  </si>
  <si>
    <t>плюс  узкая ал. Рамка // и большите фасады</t>
  </si>
  <si>
    <t>плюс узкая ал. Рамка // и большите фасады</t>
  </si>
  <si>
    <t>длина/цвет</t>
  </si>
  <si>
    <t>Стяжки/конфирматы (условно)</t>
  </si>
  <si>
    <t>Опоры Camar</t>
  </si>
  <si>
    <t>Подвесы Camar 806+планка 60мм</t>
  </si>
  <si>
    <t>Ориентировочная стоимость сборочной фурнитуры</t>
  </si>
  <si>
    <t>дата:</t>
  </si>
  <si>
    <t>курс:</t>
  </si>
  <si>
    <t>Фасады</t>
  </si>
  <si>
    <t>№</t>
  </si>
  <si>
    <t>Материал</t>
  </si>
  <si>
    <t>длина(мм)</t>
  </si>
  <si>
    <t>ширина(мм)</t>
  </si>
  <si>
    <t>кол-во(шт.)</t>
  </si>
  <si>
    <t>площадь(м2)</t>
  </si>
  <si>
    <t>периметр(м)</t>
  </si>
  <si>
    <t>стоимость</t>
  </si>
  <si>
    <t>примечание</t>
  </si>
  <si>
    <t>ЛДСП 18мм</t>
  </si>
  <si>
    <t>сумма</t>
  </si>
  <si>
    <t>Дополнительные элементы</t>
  </si>
  <si>
    <t xml:space="preserve">Стекло 6мм </t>
  </si>
  <si>
    <t>Рамочные фасады (алюм+стекло)</t>
  </si>
  <si>
    <t>Кухонные корпуса</t>
  </si>
  <si>
    <t>Фурнитура, крепёж.</t>
  </si>
  <si>
    <t>руб.</t>
  </si>
  <si>
    <t>Допдетали ЛДСП</t>
  </si>
  <si>
    <t>Допдетали Фасады</t>
  </si>
  <si>
    <t>Допдетали ДВП</t>
  </si>
  <si>
    <t>ООО "ПЛАСТИК АКРИЛ"                                                           Изделие: ВхШхГ</t>
  </si>
  <si>
    <t>Элементы сложности (сращивание, пазы, углы)</t>
  </si>
  <si>
    <r>
      <t xml:space="preserve">Фурнитура </t>
    </r>
    <r>
      <rPr>
        <b/>
        <i/>
        <sz val="14"/>
        <color rgb="FFFF0000"/>
        <rFont val="GOST Common"/>
        <family val="2"/>
        <charset val="204"/>
      </rPr>
      <t>(трубует уточнения конструктора, заказчика)</t>
    </r>
  </si>
  <si>
    <t>Ручка TW-8/9</t>
  </si>
  <si>
    <t>пог/м</t>
  </si>
  <si>
    <t>Петли Boyard Neo+планка с евровинт.</t>
  </si>
  <si>
    <t xml:space="preserve">ООО "ПЛАСТИК АКРИЛ"                                                           Изделие: </t>
  </si>
  <si>
    <t>перепроверить вроде есть ошибка</t>
  </si>
  <si>
    <t>Петли  BLUM с доводом (под пресс/ответка прямая евровинт)</t>
  </si>
  <si>
    <t>без заглушек blum</t>
  </si>
  <si>
    <t>Ящик Boyard 20 прямая боковина 550мм</t>
  </si>
  <si>
    <t>серый</t>
  </si>
  <si>
    <t>Ящик Boyard 18 прямая боковина 550мм</t>
  </si>
  <si>
    <t>Бутылочница Boyard 20мм</t>
  </si>
  <si>
    <t>хром</t>
  </si>
  <si>
    <t>BLUM tandenbox B(550) серый</t>
  </si>
  <si>
    <t>BLUM tandenbox D(550) серый</t>
  </si>
  <si>
    <t>BLUM tandenbox С(550) серый</t>
  </si>
  <si>
    <t>BLUM tandenbox М(550) серый</t>
  </si>
  <si>
    <t>BLUM напр. Tandem550 blumotion полн выдв.</t>
  </si>
  <si>
    <r>
      <t xml:space="preserve">BLUM tandenbox </t>
    </r>
    <r>
      <rPr>
        <i/>
        <sz val="14"/>
        <color theme="1"/>
        <rFont val="GOST Common"/>
        <family val="2"/>
        <charset val="204"/>
      </rPr>
      <t>С/D 500мм под мойку</t>
    </r>
    <r>
      <rPr>
        <b/>
        <sz val="14"/>
        <color theme="1"/>
        <rFont val="GOST Common"/>
        <family val="2"/>
        <charset val="204"/>
      </rPr>
      <t xml:space="preserve"> серый</t>
    </r>
  </si>
  <si>
    <t>Аventos HF (деревянный фасад)</t>
  </si>
  <si>
    <t>Аventos HS (деревянный фасад)</t>
  </si>
  <si>
    <t>Аventos HL (деревянный фасад)</t>
  </si>
  <si>
    <t>Acryl Top Matt(глянец)/VELVET/Fenix/эмаль</t>
  </si>
  <si>
    <t>Аventos HK top 27  (деревянный фасад)</t>
  </si>
  <si>
    <t>Аventos HK top 27 + tip on</t>
  </si>
  <si>
    <t>Аventos HK-S мех СЕ (деревянный фасад)</t>
  </si>
  <si>
    <t>Аventos HK-S  +tip on (мех СЕ)</t>
  </si>
  <si>
    <t>Аventos HK-XS  2силовых механизма</t>
  </si>
  <si>
    <t>Аventos HK-XS +tip on 2силовых механизма</t>
  </si>
  <si>
    <t>варианты 200/300/400 белый/серый металик/серый орион</t>
  </si>
  <si>
    <t>SPACE TWIN 200 серый</t>
  </si>
  <si>
    <t>Kronospan белый/серый/графит</t>
  </si>
  <si>
    <t>серебро/черный мат/латунь+уголки +уплотнитель+заглушки</t>
  </si>
  <si>
    <t>латунь/белый мат/титан/черный/инокс/белый глянец/серебро</t>
  </si>
  <si>
    <r>
      <rPr>
        <i/>
        <sz val="12"/>
        <color rgb="FFFF0000"/>
        <rFont val="GOST Common"/>
        <family val="2"/>
        <charset val="204"/>
      </rPr>
      <t xml:space="preserve">плюс установка </t>
    </r>
    <r>
      <rPr>
        <i/>
        <sz val="12"/>
        <color theme="1"/>
        <rFont val="GOST Common"/>
        <family val="2"/>
        <charset val="204"/>
      </rPr>
      <t>латунь/белый мат/титан/черный/инокс/белый глянец/серебро</t>
    </r>
  </si>
  <si>
    <r>
      <t xml:space="preserve">KB81 </t>
    </r>
    <r>
      <rPr>
        <b/>
        <i/>
        <sz val="14"/>
        <color theme="1"/>
        <rFont val="GOST Common"/>
        <family val="2"/>
        <charset val="204"/>
      </rPr>
      <t>ВЕРТИКАЛЬНЫЙ</t>
    </r>
    <r>
      <rPr>
        <i/>
        <sz val="14"/>
        <color theme="1"/>
        <rFont val="GOST Common"/>
        <family val="2"/>
        <charset val="204"/>
      </rPr>
      <t xml:space="preserve"> C-обр. 6м черный</t>
    </r>
  </si>
  <si>
    <t>Столешница</t>
  </si>
  <si>
    <t>Tip on врезной+планка на клею(или шуруп</t>
  </si>
  <si>
    <t>белый/серый/черный</t>
  </si>
  <si>
    <t>BLUM tandenbox F(550) серый</t>
  </si>
  <si>
    <t>BLUM tandenbox N(500) серый</t>
  </si>
  <si>
    <t>BLUM tandenbox KD(550) серый</t>
  </si>
  <si>
    <t>BLUM tandenbox K(550) серый</t>
  </si>
  <si>
    <r>
      <t xml:space="preserve">BLUM tandenbox </t>
    </r>
    <r>
      <rPr>
        <i/>
        <u/>
        <sz val="14"/>
        <color theme="1"/>
        <rFont val="GOST Common"/>
        <family val="2"/>
        <charset val="204"/>
      </rPr>
      <t>внутр</t>
    </r>
    <r>
      <rPr>
        <i/>
        <sz val="14"/>
        <color theme="1"/>
        <rFont val="GOST Common"/>
        <family val="2"/>
        <charset val="204"/>
      </rPr>
      <t xml:space="preserve"> М(550) серый</t>
    </r>
  </si>
  <si>
    <t>Цоколь (4м) Modus черный мат</t>
  </si>
  <si>
    <r>
      <t xml:space="preserve">Сушка  Boyard </t>
    </r>
    <r>
      <rPr>
        <i/>
        <sz val="14"/>
        <color theme="1"/>
        <rFont val="GOST Common"/>
        <family val="2"/>
        <charset val="204"/>
      </rPr>
      <t>(ДЛИНА)  SU02/800</t>
    </r>
  </si>
  <si>
    <t>профиль gola (4м)  КВ 97 черный</t>
  </si>
  <si>
    <t>профиль gola (4м)  КВ 93 черный</t>
  </si>
  <si>
    <t>профиль gola (4м) С черный</t>
  </si>
  <si>
    <t>профиль gola (4м)  L черный</t>
  </si>
  <si>
    <t>h100/h150</t>
  </si>
  <si>
    <t>Cтеновая панель</t>
  </si>
  <si>
    <t>опт</t>
  </si>
  <si>
    <t>предварительно опт</t>
  </si>
  <si>
    <r>
      <t xml:space="preserve">Заказчик: </t>
    </r>
    <r>
      <rPr>
        <b/>
        <sz val="16"/>
        <color theme="1"/>
        <rFont val="Calibri"/>
        <family val="2"/>
        <charset val="204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</si>
</sst>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\ &quot;₽&quot;"/>
    <numFmt numFmtId="165" formatCode="#,##0.0\ [$€-1]"/>
    <numFmt numFmtId="166" formatCode="[$-419]General"/>
    <numFmt numFmtId="167" formatCode="#,##0.0\ &quot;₽&quot;"/>
  </numFmts>
  <fonts count="46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6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GOST Common"/>
      <family val="2"/>
      <charset val="204"/>
    </font>
    <font>
      <b/>
      <i/>
      <sz val="14"/>
      <color theme="1"/>
      <name val="GOST Common"/>
      <family val="2"/>
      <charset val="204"/>
    </font>
    <font>
      <b/>
      <i/>
      <sz val="14"/>
      <color rgb="FFFF0000"/>
      <name val="GOST Common"/>
      <family val="2"/>
      <charset val="204"/>
    </font>
    <font>
      <b/>
      <i/>
      <sz val="14"/>
      <color theme="1"/>
      <name val="GOST type A"/>
      <family val="2"/>
      <charset val="204"/>
    </font>
    <font>
      <i/>
      <sz val="11"/>
      <color theme="1"/>
      <name val="GOST type A"/>
      <family val="2"/>
      <charset val="204"/>
    </font>
    <font>
      <b/>
      <i/>
      <sz val="11"/>
      <color theme="1"/>
      <name val="GOST type A"/>
      <family val="2"/>
      <charset val="204"/>
    </font>
    <font>
      <b/>
      <i/>
      <sz val="11"/>
      <name val="GOST type A"/>
      <family val="2"/>
      <charset val="204"/>
    </font>
    <font>
      <b/>
      <i/>
      <sz val="11"/>
      <color theme="0"/>
      <name val="GOST type A"/>
      <family val="2"/>
      <charset val="204"/>
    </font>
    <font>
      <b/>
      <i/>
      <sz val="20"/>
      <color theme="1"/>
      <name val="GOST Common"/>
      <family val="2"/>
      <charset val="204"/>
    </font>
    <font>
      <i/>
      <sz val="20"/>
      <color theme="1"/>
      <name val="GOST Common"/>
      <family val="2"/>
      <charset val="204"/>
    </font>
    <font>
      <b/>
      <i/>
      <sz val="20"/>
      <color theme="0"/>
      <name val="GOST Common"/>
      <family val="2"/>
      <charset val="204"/>
    </font>
    <font>
      <i/>
      <sz val="20"/>
      <color theme="0"/>
      <name val="GOST Common"/>
      <family val="2"/>
      <charset val="204"/>
    </font>
    <font>
      <i/>
      <sz val="20"/>
      <name val="GOST Common"/>
      <family val="2"/>
      <charset val="204"/>
    </font>
    <font>
      <i/>
      <u/>
      <sz val="20"/>
      <color theme="10"/>
      <name val="GOST Common"/>
      <family val="2"/>
      <charset val="204"/>
    </font>
    <font>
      <b/>
      <i/>
      <sz val="20"/>
      <name val="GOST Common"/>
      <family val="2"/>
      <charset val="204"/>
    </font>
    <font>
      <i/>
      <sz val="12"/>
      <color theme="1"/>
      <name val="GOST Common"/>
      <family val="2"/>
      <charset val="204"/>
    </font>
    <font>
      <b/>
      <i/>
      <sz val="12"/>
      <color theme="1"/>
      <name val="GOST Common"/>
      <family val="2"/>
      <charset val="204"/>
    </font>
    <font>
      <i/>
      <sz val="14"/>
      <name val="GOST Common"/>
      <family val="2"/>
      <charset val="204"/>
    </font>
    <font>
      <i/>
      <sz val="14"/>
      <color rgb="FFFF0000"/>
      <name val="GOST Common"/>
      <family val="2"/>
      <charset val="204"/>
    </font>
    <font>
      <i/>
      <u/>
      <sz val="14"/>
      <color theme="1"/>
      <name val="GOST Common"/>
      <family val="2"/>
      <charset val="204"/>
    </font>
    <font>
      <b/>
      <sz val="14"/>
      <color theme="1"/>
      <name val="GOST Common"/>
      <family val="2"/>
      <charset val="204"/>
    </font>
    <font>
      <sz val="14"/>
      <color theme="1"/>
      <name val="GOST Common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sz val="16"/>
      <color theme="1"/>
      <name val="GOST Common"/>
      <family val="2"/>
      <charset val="204"/>
    </font>
    <font>
      <b/>
      <sz val="16"/>
      <color theme="1"/>
      <name val="GOST Common"/>
      <family val="2"/>
      <charset val="204"/>
    </font>
    <font>
      <i/>
      <sz val="12"/>
      <color rgb="FFFF0000"/>
      <name val="GOST Common"/>
      <family val="2"/>
      <charset val="204"/>
    </font>
    <font>
      <b/>
      <sz val="16"/>
      <color theme="1"/>
      <name val="Gill Sans Ultra Bold"/>
      <family val="2"/>
    </font>
    <font>
      <sz val="16"/>
      <color theme="1"/>
      <name val="Gill Sans Ultra Bold"/>
      <family val="2"/>
    </font>
    <font>
      <b/>
      <sz val="12"/>
      <color theme="1"/>
      <name val="Arial"/>
      <family val="2"/>
      <charset val="204"/>
    </font>
    <font>
      <b/>
      <sz val="11"/>
      <color theme="1"/>
      <name val="GOST type A"/>
      <charset val="204"/>
    </font>
    <font>
      <b/>
      <sz val="16"/>
      <color rgb="FFFF0000"/>
      <name val="Futura Md BT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35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/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0" xfId="1"/>
    <xf numFmtId="0" fontId="4" fillId="0" borderId="52" xfId="0" applyFont="1" applyBorder="1"/>
    <xf numFmtId="0" fontId="4" fillId="0" borderId="53" xfId="0" applyFont="1" applyBorder="1"/>
    <xf numFmtId="0" fontId="4" fillId="0" borderId="47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 applyAlignment="1">
      <alignment horizontal="left" vertical="center"/>
    </xf>
    <xf numFmtId="0" fontId="17" fillId="0" borderId="0" xfId="0" applyFont="1"/>
    <xf numFmtId="0" fontId="18" fillId="0" borderId="4" xfId="0" applyFont="1" applyBorder="1"/>
    <xf numFmtId="0" fontId="20" fillId="3" borderId="61" xfId="0" applyFont="1" applyFill="1" applyBorder="1"/>
    <xf numFmtId="165" fontId="19" fillId="0" borderId="62" xfId="0" applyNumberFormat="1" applyFont="1" applyBorder="1"/>
    <xf numFmtId="49" fontId="21" fillId="0" borderId="0" xfId="0" applyNumberFormat="1" applyFont="1" applyAlignment="1">
      <alignment horizontal="centerContinuous" vertical="center"/>
    </xf>
    <xf numFmtId="49" fontId="22" fillId="0" borderId="0" xfId="0" applyNumberFormat="1" applyFont="1" applyAlignment="1">
      <alignment horizontal="centerContinuous" vertical="center" shrinkToFit="1"/>
    </xf>
    <xf numFmtId="49" fontId="22" fillId="0" borderId="0" xfId="0" applyNumberFormat="1" applyFont="1" applyAlignment="1">
      <alignment horizontal="centerContinuous" vertical="center"/>
    </xf>
    <xf numFmtId="1" fontId="22" fillId="0" borderId="0" xfId="0" applyNumberFormat="1" applyFont="1" applyAlignment="1">
      <alignment horizontal="centerContinuous" vertical="center"/>
    </xf>
    <xf numFmtId="164" fontId="22" fillId="0" borderId="0" xfId="0" applyNumberFormat="1" applyFont="1" applyAlignment="1">
      <alignment horizontal="centerContinuous" vertical="center"/>
    </xf>
    <xf numFmtId="1" fontId="21" fillId="0" borderId="0" xfId="0" applyNumberFormat="1" applyFont="1" applyAlignment="1" applyProtection="1">
      <alignment horizontal="centerContinuous" vertical="center"/>
      <protection hidden="1"/>
    </xf>
    <xf numFmtId="44" fontId="21" fillId="0" borderId="0" xfId="0" applyNumberFormat="1" applyFont="1" applyAlignment="1">
      <alignment horizontal="centerContinuous" vertical="center"/>
    </xf>
    <xf numFmtId="0" fontId="22" fillId="0" borderId="0" xfId="0" applyFont="1" applyAlignment="1">
      <alignment horizontal="centerContinuous" vertical="center" wrapText="1"/>
    </xf>
    <xf numFmtId="0" fontId="22" fillId="0" borderId="0" xfId="0" applyFont="1"/>
    <xf numFmtId="49" fontId="23" fillId="4" borderId="4" xfId="0" applyNumberFormat="1" applyFont="1" applyFill="1" applyBorder="1" applyAlignment="1">
      <alignment horizontal="center" vertical="center"/>
    </xf>
    <xf numFmtId="49" fontId="23" fillId="4" borderId="4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Border="1" applyAlignment="1">
      <alignment horizontal="center" vertical="center" shrinkToFit="1"/>
    </xf>
    <xf numFmtId="49" fontId="23" fillId="0" borderId="4" xfId="0" applyNumberFormat="1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/>
    </xf>
    <xf numFmtId="164" fontId="24" fillId="0" borderId="4" xfId="0" applyNumberFormat="1" applyFont="1" applyBorder="1" applyAlignment="1" applyProtection="1">
      <alignment horizontal="center" vertical="center"/>
      <protection hidden="1"/>
    </xf>
    <xf numFmtId="44" fontId="24" fillId="0" borderId="4" xfId="0" applyNumberFormat="1" applyFont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165" fontId="23" fillId="4" borderId="4" xfId="0" applyNumberFormat="1" applyFont="1" applyFill="1" applyBorder="1" applyAlignment="1">
      <alignment horizontal="center" vertical="center"/>
    </xf>
    <xf numFmtId="49" fontId="21" fillId="0" borderId="0" xfId="0" applyNumberFormat="1" applyFont="1" applyAlignment="1">
      <alignment horizontal="centerContinuous"/>
    </xf>
    <xf numFmtId="49" fontId="25" fillId="0" borderId="4" xfId="0" applyNumberFormat="1" applyFont="1" applyBorder="1" applyAlignment="1">
      <alignment horizontal="centerContinuous" vertical="center" shrinkToFit="1"/>
    </xf>
    <xf numFmtId="49" fontId="21" fillId="0" borderId="4" xfId="0" applyNumberFormat="1" applyFont="1" applyBorder="1" applyAlignment="1">
      <alignment horizontal="centerContinuous" vertical="center"/>
    </xf>
    <xf numFmtId="1" fontId="21" fillId="0" borderId="4" xfId="0" applyNumberFormat="1" applyFont="1" applyBorder="1" applyAlignment="1">
      <alignment horizontal="centerContinuous" vertical="center"/>
    </xf>
    <xf numFmtId="164" fontId="21" fillId="0" borderId="4" xfId="0" applyNumberFormat="1" applyFont="1" applyBorder="1" applyAlignment="1" applyProtection="1">
      <alignment horizontal="centerContinuous" vertical="center"/>
      <protection hidden="1"/>
    </xf>
    <xf numFmtId="44" fontId="21" fillId="0" borderId="4" xfId="0" applyNumberFormat="1" applyFont="1" applyBorder="1" applyAlignment="1">
      <alignment horizontal="centerContinuous" vertical="center"/>
    </xf>
    <xf numFmtId="0" fontId="25" fillId="0" borderId="0" xfId="0" applyFont="1" applyAlignment="1">
      <alignment horizontal="center" vertical="center"/>
    </xf>
    <xf numFmtId="0" fontId="26" fillId="0" borderId="4" xfId="1" applyFont="1" applyFill="1" applyBorder="1" applyAlignment="1">
      <alignment horizontal="center" vertical="center" shrinkToFit="1"/>
    </xf>
    <xf numFmtId="0" fontId="22" fillId="0" borderId="4" xfId="0" applyFont="1" applyBorder="1" applyAlignment="1" applyProtection="1">
      <alignment horizontal="center" vertical="center"/>
      <protection locked="0"/>
    </xf>
    <xf numFmtId="49" fontId="22" fillId="0" borderId="4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 applyProtection="1">
      <alignment horizontal="center" vertical="center"/>
      <protection locked="0"/>
    </xf>
    <xf numFmtId="164" fontId="27" fillId="0" borderId="4" xfId="0" applyNumberFormat="1" applyFont="1" applyBorder="1" applyAlignment="1" applyProtection="1">
      <alignment horizontal="center" vertical="center"/>
      <protection hidden="1"/>
    </xf>
    <xf numFmtId="1" fontId="25" fillId="0" borderId="4" xfId="0" applyNumberFormat="1" applyFont="1" applyBorder="1" applyAlignment="1" applyProtection="1">
      <alignment horizontal="center" vertical="center"/>
      <protection locked="0"/>
    </xf>
    <xf numFmtId="44" fontId="27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5" fillId="0" borderId="4" xfId="0" applyFont="1" applyBorder="1" applyAlignment="1" applyProtection="1">
      <alignment horizontal="center" vertical="center" wrapText="1"/>
      <protection locked="0"/>
    </xf>
    <xf numFmtId="1" fontId="25" fillId="0" borderId="0" xfId="0" applyNumberFormat="1" applyFont="1" applyAlignment="1">
      <alignment horizontal="center" vertical="center"/>
    </xf>
    <xf numFmtId="0" fontId="22" fillId="0" borderId="4" xfId="0" applyFont="1" applyBorder="1" applyAlignment="1">
      <alignment horizontal="centerContinuous" vertical="center" shrinkToFit="1"/>
    </xf>
    <xf numFmtId="1" fontId="22" fillId="0" borderId="4" xfId="0" applyNumberFormat="1" applyFont="1" applyBorder="1" applyAlignment="1">
      <alignment horizontal="centerContinuous" vertical="center"/>
    </xf>
    <xf numFmtId="1" fontId="22" fillId="0" borderId="4" xfId="0" applyNumberFormat="1" applyFont="1" applyBorder="1" applyAlignment="1" applyProtection="1">
      <alignment horizontal="centerContinuous" vertical="center"/>
      <protection locked="0"/>
    </xf>
    <xf numFmtId="44" fontId="22" fillId="0" borderId="4" xfId="0" applyNumberFormat="1" applyFont="1" applyBorder="1" applyAlignment="1">
      <alignment horizontal="centerContinuous" vertical="center"/>
    </xf>
    <xf numFmtId="44" fontId="22" fillId="0" borderId="4" xfId="0" applyNumberFormat="1" applyFont="1" applyBorder="1" applyAlignment="1">
      <alignment horizontal="centerContinuous" vertical="center" wrapText="1"/>
    </xf>
    <xf numFmtId="0" fontId="22" fillId="0" borderId="0" xfId="0" applyFont="1" applyAlignment="1">
      <alignment horizontal="centerContinuous"/>
    </xf>
    <xf numFmtId="0" fontId="22" fillId="0" borderId="4" xfId="0" applyFont="1" applyBorder="1" applyAlignment="1">
      <alignment horizontal="center" vertical="center" shrinkToFit="1"/>
    </xf>
    <xf numFmtId="49" fontId="25" fillId="0" borderId="4" xfId="0" applyNumberFormat="1" applyFont="1" applyBorder="1" applyAlignment="1" applyProtection="1">
      <alignment horizontal="center" vertical="center" wrapText="1"/>
      <protection locked="0"/>
    </xf>
    <xf numFmtId="49" fontId="25" fillId="0" borderId="0" xfId="0" applyNumberFormat="1" applyFont="1" applyAlignment="1">
      <alignment horizontal="center" vertical="center"/>
    </xf>
    <xf numFmtId="0" fontId="22" fillId="0" borderId="0" xfId="0" applyFont="1" applyAlignment="1">
      <alignment shrinkToFit="1"/>
    </xf>
    <xf numFmtId="49" fontId="22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164" fontId="21" fillId="0" borderId="0" xfId="0" applyNumberFormat="1" applyFont="1" applyAlignment="1" applyProtection="1">
      <alignment horizontal="center" vertical="center"/>
      <protection hidden="1"/>
    </xf>
    <xf numFmtId="44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vertical="center"/>
    </xf>
    <xf numFmtId="0" fontId="13" fillId="0" borderId="0" xfId="0" applyFont="1" applyProtection="1">
      <protection locked="0"/>
    </xf>
    <xf numFmtId="44" fontId="13" fillId="0" borderId="0" xfId="0" applyNumberFormat="1" applyFont="1" applyProtection="1">
      <protection locked="0"/>
    </xf>
    <xf numFmtId="44" fontId="29" fillId="0" borderId="0" xfId="0" applyNumberFormat="1" applyFont="1" applyProtection="1">
      <protection locked="0"/>
    </xf>
    <xf numFmtId="0" fontId="28" fillId="0" borderId="0" xfId="0" applyFont="1" applyProtection="1">
      <protection locked="0"/>
    </xf>
    <xf numFmtId="0" fontId="28" fillId="0" borderId="0" xfId="0" applyFont="1"/>
    <xf numFmtId="0" fontId="14" fillId="0" borderId="0" xfId="0" applyFont="1" applyProtection="1">
      <protection locked="0"/>
    </xf>
    <xf numFmtId="44" fontId="14" fillId="0" borderId="0" xfId="0" applyNumberFormat="1" applyFont="1" applyProtection="1">
      <protection locked="0"/>
    </xf>
    <xf numFmtId="44" fontId="28" fillId="0" borderId="0" xfId="0" applyNumberFormat="1" applyFont="1" applyProtection="1">
      <protection locked="0"/>
    </xf>
    <xf numFmtId="0" fontId="13" fillId="0" borderId="0" xfId="0" applyFont="1" applyAlignment="1">
      <alignment horizontal="left" vertical="top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/>
    <xf numFmtId="0" fontId="13" fillId="8" borderId="0" xfId="0" applyFont="1" applyFill="1"/>
    <xf numFmtId="0" fontId="14" fillId="0" borderId="0" xfId="0" applyFont="1"/>
    <xf numFmtId="164" fontId="13" fillId="5" borderId="0" xfId="0" applyNumberFormat="1" applyFont="1" applyFill="1"/>
    <xf numFmtId="49" fontId="13" fillId="0" borderId="57" xfId="0" applyNumberFormat="1" applyFont="1" applyBorder="1" applyAlignment="1">
      <alignment horizontal="left" vertical="center"/>
    </xf>
    <xf numFmtId="166" fontId="30" fillId="0" borderId="4" xfId="2" applyNumberFormat="1" applyFont="1" applyBorder="1" applyAlignment="1">
      <alignment horizontal="center" vertical="center" wrapText="1"/>
    </xf>
    <xf numFmtId="164" fontId="30" fillId="0" borderId="4" xfId="0" applyNumberFormat="1" applyFont="1" applyBorder="1" applyAlignment="1">
      <alignment horizontal="center" vertical="center"/>
    </xf>
    <xf numFmtId="164" fontId="30" fillId="7" borderId="4" xfId="0" applyNumberFormat="1" applyFont="1" applyFill="1" applyBorder="1" applyAlignment="1">
      <alignment horizontal="center" vertical="center"/>
    </xf>
    <xf numFmtId="44" fontId="28" fillId="0" borderId="4" xfId="0" applyNumberFormat="1" applyFont="1" applyBorder="1" applyProtection="1">
      <protection locked="0"/>
    </xf>
    <xf numFmtId="49" fontId="13" fillId="8" borderId="57" xfId="0" applyNumberFormat="1" applyFont="1" applyFill="1" applyBorder="1" applyAlignment="1">
      <alignment horizontal="left" vertical="center"/>
    </xf>
    <xf numFmtId="166" fontId="30" fillId="8" borderId="4" xfId="2" applyNumberFormat="1" applyFont="1" applyFill="1" applyBorder="1" applyAlignment="1">
      <alignment horizontal="center" vertical="center" wrapText="1"/>
    </xf>
    <xf numFmtId="164" fontId="30" fillId="8" borderId="4" xfId="0" applyNumberFormat="1" applyFont="1" applyFill="1" applyBorder="1" applyAlignment="1">
      <alignment horizontal="center" vertical="center"/>
    </xf>
    <xf numFmtId="44" fontId="28" fillId="8" borderId="4" xfId="0" applyNumberFormat="1" applyFont="1" applyFill="1" applyBorder="1" applyProtection="1">
      <protection locked="0"/>
    </xf>
    <xf numFmtId="49" fontId="31" fillId="0" borderId="57" xfId="0" applyNumberFormat="1" applyFont="1" applyBorder="1" applyAlignment="1">
      <alignment horizontal="left" vertical="center"/>
    </xf>
    <xf numFmtId="0" fontId="28" fillId="0" borderId="4" xfId="0" applyFont="1" applyBorder="1"/>
    <xf numFmtId="0" fontId="13" fillId="9" borderId="0" xfId="0" applyFont="1" applyFill="1"/>
    <xf numFmtId="164" fontId="13" fillId="0" borderId="0" xfId="0" applyNumberFormat="1" applyFont="1"/>
    <xf numFmtId="0" fontId="13" fillId="0" borderId="0" xfId="0" applyFont="1" applyFill="1"/>
    <xf numFmtId="0" fontId="29" fillId="0" borderId="0" xfId="0" applyFont="1"/>
    <xf numFmtId="0" fontId="34" fillId="0" borderId="0" xfId="0" applyFont="1" applyAlignment="1">
      <alignment horizontal="center"/>
    </xf>
    <xf numFmtId="14" fontId="34" fillId="0" borderId="0" xfId="0" applyNumberFormat="1" applyFont="1" applyAlignment="1">
      <alignment horizontal="center"/>
    </xf>
    <xf numFmtId="0" fontId="34" fillId="7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35" fillId="0" borderId="62" xfId="0" applyFont="1" applyBorder="1" applyAlignment="1">
      <alignment horizontal="center"/>
    </xf>
    <xf numFmtId="14" fontId="36" fillId="0" borderId="0" xfId="0" applyNumberFormat="1" applyFont="1" applyAlignment="1">
      <alignment horizontal="center"/>
    </xf>
    <xf numFmtId="0" fontId="36" fillId="7" borderId="62" xfId="0" applyFont="1" applyFill="1" applyBorder="1" applyAlignment="1">
      <alignment horizontal="left"/>
    </xf>
    <xf numFmtId="0" fontId="36" fillId="0" borderId="62" xfId="0" applyFont="1" applyBorder="1" applyAlignment="1">
      <alignment horizontal="center"/>
    </xf>
    <xf numFmtId="0" fontId="35" fillId="0" borderId="62" xfId="0" applyFont="1" applyBorder="1" applyAlignment="1">
      <alignment horizontal="left" vertical="center"/>
    </xf>
    <xf numFmtId="0" fontId="36" fillId="0" borderId="62" xfId="0" applyFont="1" applyBorder="1" applyAlignment="1">
      <alignment horizontal="center" vertical="center"/>
    </xf>
    <xf numFmtId="0" fontId="36" fillId="7" borderId="69" xfId="0" applyFont="1" applyFill="1" applyBorder="1" applyAlignment="1">
      <alignment horizontal="center"/>
    </xf>
    <xf numFmtId="0" fontId="36" fillId="7" borderId="25" xfId="0" applyFont="1" applyFill="1" applyBorder="1" applyAlignment="1">
      <alignment horizontal="left" vertical="center"/>
    </xf>
    <xf numFmtId="0" fontId="35" fillId="7" borderId="25" xfId="0" applyFont="1" applyFill="1" applyBorder="1" applyAlignment="1">
      <alignment horizontal="center"/>
    </xf>
    <xf numFmtId="0" fontId="36" fillId="7" borderId="70" xfId="0" applyFont="1" applyFill="1" applyBorder="1" applyAlignment="1">
      <alignment horizontal="left"/>
    </xf>
    <xf numFmtId="0" fontId="36" fillId="0" borderId="71" xfId="0" applyFont="1" applyBorder="1" applyAlignment="1">
      <alignment horizontal="center"/>
    </xf>
    <xf numFmtId="0" fontId="36" fillId="0" borderId="4" xfId="0" applyFont="1" applyBorder="1" applyAlignment="1">
      <alignment horizontal="left" vertical="center"/>
    </xf>
    <xf numFmtId="0" fontId="35" fillId="0" borderId="4" xfId="0" applyFont="1" applyBorder="1" applyAlignment="1">
      <alignment horizontal="center"/>
    </xf>
    <xf numFmtId="0" fontId="36" fillId="0" borderId="72" xfId="0" applyFont="1" applyBorder="1" applyAlignment="1">
      <alignment horizontal="left"/>
    </xf>
    <xf numFmtId="0" fontId="36" fillId="7" borderId="71" xfId="0" applyFont="1" applyFill="1" applyBorder="1" applyAlignment="1">
      <alignment horizontal="center"/>
    </xf>
    <xf numFmtId="0" fontId="36" fillId="7" borderId="4" xfId="0" applyFont="1" applyFill="1" applyBorder="1" applyAlignment="1">
      <alignment horizontal="left" vertical="center"/>
    </xf>
    <xf numFmtId="0" fontId="35" fillId="7" borderId="4" xfId="0" applyFont="1" applyFill="1" applyBorder="1" applyAlignment="1">
      <alignment horizontal="center"/>
    </xf>
    <xf numFmtId="0" fontId="36" fillId="7" borderId="72" xfId="0" applyFont="1" applyFill="1" applyBorder="1" applyAlignment="1">
      <alignment horizontal="left"/>
    </xf>
    <xf numFmtId="0" fontId="36" fillId="0" borderId="4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6" fillId="0" borderId="73" xfId="0" applyFont="1" applyBorder="1" applyAlignment="1">
      <alignment horizontal="left"/>
    </xf>
    <xf numFmtId="0" fontId="37" fillId="0" borderId="0" xfId="0" applyFont="1" applyAlignment="1">
      <alignment horizontal="center"/>
    </xf>
    <xf numFmtId="0" fontId="36" fillId="0" borderId="69" xfId="0" applyFont="1" applyBorder="1" applyAlignment="1">
      <alignment horizontal="center"/>
    </xf>
    <xf numFmtId="0" fontId="36" fillId="0" borderId="25" xfId="0" applyFont="1" applyBorder="1" applyAlignment="1">
      <alignment horizontal="left" vertical="center"/>
    </xf>
    <xf numFmtId="0" fontId="35" fillId="0" borderId="25" xfId="0" applyFont="1" applyBorder="1" applyAlignment="1">
      <alignment horizontal="center"/>
    </xf>
    <xf numFmtId="0" fontId="36" fillId="0" borderId="70" xfId="0" applyFont="1" applyBorder="1" applyAlignment="1">
      <alignment horizontal="left"/>
    </xf>
    <xf numFmtId="0" fontId="35" fillId="7" borderId="11" xfId="0" applyFont="1" applyFill="1" applyBorder="1" applyAlignment="1">
      <alignment horizontal="center"/>
    </xf>
    <xf numFmtId="0" fontId="36" fillId="7" borderId="73" xfId="0" applyFont="1" applyFill="1" applyBorder="1" applyAlignment="1">
      <alignment horizontal="left"/>
    </xf>
    <xf numFmtId="0" fontId="36" fillId="0" borderId="66" xfId="0" applyFont="1" applyBorder="1" applyAlignment="1">
      <alignment horizontal="center"/>
    </xf>
    <xf numFmtId="0" fontId="36" fillId="0" borderId="65" xfId="0" applyFont="1" applyBorder="1" applyAlignment="1">
      <alignment horizontal="left"/>
    </xf>
    <xf numFmtId="0" fontId="38" fillId="0" borderId="0" xfId="0" applyFont="1" applyAlignment="1">
      <alignment horizontal="left" vertical="center"/>
    </xf>
    <xf numFmtId="0" fontId="3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38" fillId="8" borderId="0" xfId="0" applyFont="1" applyFill="1" applyAlignment="1">
      <alignment horizontal="center"/>
    </xf>
    <xf numFmtId="0" fontId="38" fillId="0" borderId="0" xfId="0" applyFont="1" applyAlignment="1">
      <alignment horizontal="left"/>
    </xf>
    <xf numFmtId="0" fontId="35" fillId="0" borderId="25" xfId="0" applyFont="1" applyBorder="1" applyAlignment="1">
      <alignment horizontal="left" vertical="center"/>
    </xf>
    <xf numFmtId="164" fontId="30" fillId="0" borderId="4" xfId="0" applyNumberFormat="1" applyFont="1" applyFill="1" applyBorder="1" applyAlignment="1">
      <alignment horizontal="center" vertical="center"/>
    </xf>
    <xf numFmtId="49" fontId="13" fillId="0" borderId="57" xfId="0" applyNumberFormat="1" applyFont="1" applyFill="1" applyBorder="1" applyAlignment="1">
      <alignment horizontal="left" vertical="center"/>
    </xf>
    <xf numFmtId="1" fontId="35" fillId="0" borderId="62" xfId="0" applyNumberFormat="1" applyFont="1" applyBorder="1" applyAlignment="1">
      <alignment horizontal="center"/>
    </xf>
    <xf numFmtId="1" fontId="36" fillId="0" borderId="62" xfId="0" applyNumberFormat="1" applyFont="1" applyBorder="1" applyAlignment="1">
      <alignment horizontal="center"/>
    </xf>
    <xf numFmtId="1" fontId="35" fillId="7" borderId="25" xfId="0" applyNumberFormat="1" applyFont="1" applyFill="1" applyBorder="1" applyAlignment="1">
      <alignment horizontal="center"/>
    </xf>
    <xf numFmtId="1" fontId="35" fillId="0" borderId="4" xfId="0" applyNumberFormat="1" applyFont="1" applyBorder="1" applyAlignment="1">
      <alignment horizontal="center"/>
    </xf>
    <xf numFmtId="1" fontId="35" fillId="7" borderId="4" xfId="0" applyNumberFormat="1" applyFont="1" applyFill="1" applyBorder="1" applyAlignment="1">
      <alignment horizontal="center"/>
    </xf>
    <xf numFmtId="1" fontId="35" fillId="0" borderId="11" xfId="0" applyNumberFormat="1" applyFont="1" applyBorder="1" applyAlignment="1">
      <alignment horizontal="center"/>
    </xf>
    <xf numFmtId="1" fontId="35" fillId="0" borderId="25" xfId="0" applyNumberFormat="1" applyFont="1" applyBorder="1" applyAlignment="1">
      <alignment horizontal="center"/>
    </xf>
    <xf numFmtId="1" fontId="35" fillId="0" borderId="11" xfId="3" applyNumberFormat="1" applyFont="1" applyFill="1" applyBorder="1" applyAlignment="1">
      <alignment horizontal="center"/>
    </xf>
    <xf numFmtId="1" fontId="35" fillId="7" borderId="11" xfId="0" applyNumberFormat="1" applyFont="1" applyFill="1" applyBorder="1" applyAlignment="1">
      <alignment horizontal="center"/>
    </xf>
    <xf numFmtId="1" fontId="35" fillId="9" borderId="62" xfId="0" applyNumberFormat="1" applyFont="1" applyFill="1" applyBorder="1" applyAlignment="1">
      <alignment horizontal="center"/>
    </xf>
    <xf numFmtId="1" fontId="39" fillId="0" borderId="0" xfId="0" applyNumberFormat="1" applyFont="1" applyFill="1" applyAlignment="1">
      <alignment horizontal="center"/>
    </xf>
    <xf numFmtId="1" fontId="39" fillId="7" borderId="0" xfId="0" applyNumberFormat="1" applyFont="1" applyFill="1" applyAlignment="1">
      <alignment horizontal="center"/>
    </xf>
    <xf numFmtId="164" fontId="14" fillId="2" borderId="4" xfId="0" applyNumberFormat="1" applyFont="1" applyFill="1" applyBorder="1" applyAlignment="1" applyProtection="1">
      <alignment horizontal="center"/>
      <protection locked="0"/>
    </xf>
    <xf numFmtId="0" fontId="41" fillId="0" borderId="0" xfId="0" applyFont="1" applyAlignment="1">
      <alignment horizontal="center"/>
    </xf>
    <xf numFmtId="1" fontId="41" fillId="0" borderId="0" xfId="0" applyNumberFormat="1" applyFont="1" applyFill="1" applyAlignment="1">
      <alignment horizontal="center"/>
    </xf>
    <xf numFmtId="0" fontId="42" fillId="0" borderId="0" xfId="0" applyFont="1" applyAlignment="1">
      <alignment horizontal="left"/>
    </xf>
    <xf numFmtId="49" fontId="28" fillId="8" borderId="4" xfId="0" applyNumberFormat="1" applyFont="1" applyFill="1" applyBorder="1" applyProtection="1">
      <protection locked="0"/>
    </xf>
    <xf numFmtId="0" fontId="13" fillId="2" borderId="0" xfId="0" applyFont="1" applyFill="1" applyProtection="1">
      <protection locked="0"/>
    </xf>
    <xf numFmtId="0" fontId="43" fillId="9" borderId="4" xfId="0" applyFont="1" applyFill="1" applyBorder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center"/>
    </xf>
    <xf numFmtId="0" fontId="41" fillId="10" borderId="0" xfId="0" applyFont="1" applyFill="1" applyAlignment="1">
      <alignment horizontal="center"/>
    </xf>
    <xf numFmtId="1" fontId="41" fillId="10" borderId="0" xfId="0" applyNumberFormat="1" applyFont="1" applyFill="1" applyAlignment="1">
      <alignment horizontal="center"/>
    </xf>
    <xf numFmtId="0" fontId="42" fillId="10" borderId="0" xfId="0" applyFont="1" applyFill="1" applyAlignment="1">
      <alignment horizontal="left"/>
    </xf>
    <xf numFmtId="165" fontId="19" fillId="0" borderId="4" xfId="0" applyNumberFormat="1" applyFont="1" applyFill="1" applyBorder="1"/>
    <xf numFmtId="167" fontId="16" fillId="2" borderId="0" xfId="0" applyNumberFormat="1" applyFont="1" applyFill="1"/>
    <xf numFmtId="0" fontId="28" fillId="0" borderId="0" xfId="0" applyFont="1" applyAlignment="1">
      <alignment horizontal="center"/>
    </xf>
    <xf numFmtId="0" fontId="14" fillId="0" borderId="63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14" fillId="0" borderId="65" xfId="0" applyFont="1" applyBorder="1" applyAlignment="1">
      <alignment horizontal="center"/>
    </xf>
    <xf numFmtId="0" fontId="14" fillId="6" borderId="26" xfId="0" applyFont="1" applyFill="1" applyBorder="1" applyAlignment="1" applyProtection="1">
      <alignment horizontal="center"/>
      <protection locked="0"/>
    </xf>
    <xf numFmtId="0" fontId="14" fillId="6" borderId="27" xfId="0" applyFont="1" applyFill="1" applyBorder="1" applyAlignment="1" applyProtection="1">
      <alignment horizontal="center"/>
      <protection locked="0"/>
    </xf>
    <xf numFmtId="0" fontId="14" fillId="6" borderId="30" xfId="0" applyFont="1" applyFill="1" applyBorder="1" applyAlignment="1" applyProtection="1">
      <alignment horizontal="center"/>
      <protection locked="0"/>
    </xf>
    <xf numFmtId="0" fontId="13" fillId="9" borderId="57" xfId="0" applyFont="1" applyFill="1" applyBorder="1" applyAlignment="1" applyProtection="1">
      <alignment horizontal="center"/>
      <protection locked="0"/>
    </xf>
    <xf numFmtId="0" fontId="13" fillId="9" borderId="58" xfId="0" applyFont="1" applyFill="1" applyBorder="1" applyAlignment="1" applyProtection="1">
      <alignment horizontal="center"/>
      <protection locked="0"/>
    </xf>
    <xf numFmtId="0" fontId="13" fillId="9" borderId="59" xfId="0" applyFont="1" applyFill="1" applyBorder="1" applyAlignment="1" applyProtection="1">
      <alignment horizontal="center"/>
      <protection locked="0"/>
    </xf>
    <xf numFmtId="0" fontId="36" fillId="7" borderId="76" xfId="0" applyFont="1" applyFill="1" applyBorder="1" applyAlignment="1">
      <alignment horizontal="center"/>
    </xf>
    <xf numFmtId="0" fontId="36" fillId="7" borderId="1" xfId="0" applyFont="1" applyFill="1" applyBorder="1" applyAlignment="1">
      <alignment horizontal="center"/>
    </xf>
    <xf numFmtId="0" fontId="36" fillId="7" borderId="12" xfId="0" applyFont="1" applyFill="1" applyBorder="1" applyAlignment="1">
      <alignment horizontal="center"/>
    </xf>
    <xf numFmtId="0" fontId="35" fillId="6" borderId="66" xfId="0" applyFont="1" applyFill="1" applyBorder="1" applyAlignment="1">
      <alignment horizontal="center"/>
    </xf>
    <xf numFmtId="0" fontId="35" fillId="6" borderId="67" xfId="0" applyFont="1" applyFill="1" applyBorder="1" applyAlignment="1">
      <alignment horizontal="center"/>
    </xf>
    <xf numFmtId="0" fontId="35" fillId="6" borderId="68" xfId="0" applyFont="1" applyFill="1" applyBorder="1" applyAlignment="1">
      <alignment horizontal="center"/>
    </xf>
    <xf numFmtId="0" fontId="36" fillId="7" borderId="77" xfId="0" applyFont="1" applyFill="1" applyBorder="1" applyAlignment="1">
      <alignment horizontal="center" vertical="center"/>
    </xf>
    <xf numFmtId="0" fontId="36" fillId="7" borderId="78" xfId="0" applyFont="1" applyFill="1" applyBorder="1" applyAlignment="1">
      <alignment horizontal="center" vertical="center"/>
    </xf>
    <xf numFmtId="0" fontId="36" fillId="7" borderId="79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5" fillId="0" borderId="64" xfId="0" applyFont="1" applyBorder="1" applyAlignment="1">
      <alignment horizontal="center" vertical="center"/>
    </xf>
    <xf numFmtId="0" fontId="36" fillId="6" borderId="67" xfId="0" applyFont="1" applyFill="1" applyBorder="1" applyAlignment="1">
      <alignment horizontal="center"/>
    </xf>
    <xf numFmtId="0" fontId="36" fillId="6" borderId="68" xfId="0" applyFont="1" applyFill="1" applyBorder="1" applyAlignment="1">
      <alignment horizontal="center"/>
    </xf>
    <xf numFmtId="0" fontId="35" fillId="6" borderId="66" xfId="0" applyFont="1" applyFill="1" applyBorder="1" applyAlignment="1">
      <alignment horizontal="left" vertical="center"/>
    </xf>
    <xf numFmtId="0" fontId="35" fillId="6" borderId="67" xfId="0" applyFont="1" applyFill="1" applyBorder="1" applyAlignment="1">
      <alignment horizontal="left" vertical="center"/>
    </xf>
    <xf numFmtId="0" fontId="35" fillId="6" borderId="68" xfId="0" applyFont="1" applyFill="1" applyBorder="1" applyAlignment="1">
      <alignment horizontal="left" vertical="center"/>
    </xf>
    <xf numFmtId="0" fontId="36" fillId="0" borderId="63" xfId="0" applyFont="1" applyBorder="1" applyAlignment="1">
      <alignment horizontal="left"/>
    </xf>
    <xf numFmtId="0" fontId="36" fillId="0" borderId="64" xfId="0" applyFont="1" applyBorder="1" applyAlignment="1">
      <alignment horizontal="left"/>
    </xf>
    <xf numFmtId="0" fontId="36" fillId="0" borderId="65" xfId="0" applyFont="1" applyBorder="1" applyAlignment="1">
      <alignment horizontal="left"/>
    </xf>
    <xf numFmtId="0" fontId="35" fillId="6" borderId="74" xfId="0" applyFont="1" applyFill="1" applyBorder="1" applyAlignment="1">
      <alignment horizontal="center"/>
    </xf>
    <xf numFmtId="0" fontId="35" fillId="6" borderId="75" xfId="0" applyFont="1" applyFill="1" applyBorder="1" applyAlignment="1">
      <alignment horizontal="center"/>
    </xf>
    <xf numFmtId="0" fontId="36" fillId="0" borderId="76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2" fillId="2" borderId="5" xfId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1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left" vertical="center"/>
    </xf>
    <xf numFmtId="0" fontId="3" fillId="0" borderId="11" xfId="0" applyFont="1" applyBorder="1" applyAlignment="1">
      <alignment horizontal="center" textRotation="90"/>
    </xf>
    <xf numFmtId="0" fontId="3" fillId="0" borderId="15" xfId="0" applyFont="1" applyBorder="1" applyAlignment="1">
      <alignment horizontal="center" textRotation="90"/>
    </xf>
    <xf numFmtId="0" fontId="3" fillId="0" borderId="25" xfId="0" applyFont="1" applyBorder="1" applyAlignment="1">
      <alignment horizontal="center" textRotation="90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5" fillId="0" borderId="57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1" xfId="0" applyFont="1" applyBorder="1" applyAlignment="1">
      <alignment horizontal="center" textRotation="90"/>
    </xf>
    <xf numFmtId="0" fontId="7" fillId="0" borderId="14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32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2" fillId="0" borderId="2" xfId="1" applyBorder="1" applyAlignment="1">
      <alignment horizontal="center" textRotation="90"/>
    </xf>
    <xf numFmtId="0" fontId="2" fillId="0" borderId="1" xfId="1" applyBorder="1" applyAlignment="1">
      <alignment horizontal="center" textRotation="90"/>
    </xf>
    <xf numFmtId="0" fontId="2" fillId="0" borderId="16" xfId="1" applyBorder="1" applyAlignment="1">
      <alignment horizontal="center" textRotation="90"/>
    </xf>
    <xf numFmtId="0" fontId="2" fillId="0" borderId="3" xfId="1" applyBorder="1" applyAlignment="1">
      <alignment horizontal="center" textRotation="90"/>
    </xf>
    <xf numFmtId="0" fontId="2" fillId="0" borderId="0" xfId="1" applyBorder="1" applyAlignment="1">
      <alignment horizontal="center" textRotation="90"/>
    </xf>
    <xf numFmtId="0" fontId="2" fillId="0" borderId="8" xfId="1" applyBorder="1" applyAlignment="1">
      <alignment horizontal="center" textRotation="90"/>
    </xf>
    <xf numFmtId="0" fontId="2" fillId="0" borderId="26" xfId="1" applyBorder="1" applyAlignment="1">
      <alignment horizontal="center" textRotation="90"/>
    </xf>
    <xf numFmtId="0" fontId="2" fillId="0" borderId="27" xfId="1" applyBorder="1" applyAlignment="1">
      <alignment horizontal="center" textRotation="90"/>
    </xf>
    <xf numFmtId="0" fontId="2" fillId="0" borderId="28" xfId="1" applyBorder="1" applyAlignment="1">
      <alignment horizontal="center" textRotation="90"/>
    </xf>
    <xf numFmtId="0" fontId="3" fillId="0" borderId="17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16" xfId="0" applyFont="1" applyBorder="1" applyAlignment="1">
      <alignment horizontal="center" textRotation="90"/>
    </xf>
    <xf numFmtId="0" fontId="3" fillId="0" borderId="10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3" fillId="0" borderId="29" xfId="0" applyFont="1" applyBorder="1" applyAlignment="1">
      <alignment horizontal="center" textRotation="90"/>
    </xf>
    <xf numFmtId="0" fontId="3" fillId="0" borderId="27" xfId="0" applyFont="1" applyBorder="1" applyAlignment="1">
      <alignment horizontal="center" textRotation="90"/>
    </xf>
    <xf numFmtId="0" fontId="3" fillId="0" borderId="28" xfId="0" applyFont="1" applyBorder="1" applyAlignment="1">
      <alignment horizontal="center" textRotation="90"/>
    </xf>
    <xf numFmtId="0" fontId="2" fillId="0" borderId="17" xfId="1" applyBorder="1" applyAlignment="1">
      <alignment horizontal="center" textRotation="90"/>
    </xf>
    <xf numFmtId="0" fontId="2" fillId="0" borderId="12" xfId="1" applyBorder="1" applyAlignment="1">
      <alignment horizontal="center" textRotation="90"/>
    </xf>
    <xf numFmtId="0" fontId="2" fillId="0" borderId="10" xfId="1" applyBorder="1" applyAlignment="1">
      <alignment horizontal="center" textRotation="90"/>
    </xf>
    <xf numFmtId="0" fontId="2" fillId="0" borderId="23" xfId="1" applyBorder="1" applyAlignment="1">
      <alignment horizontal="center" textRotation="90"/>
    </xf>
    <xf numFmtId="0" fontId="2" fillId="0" borderId="29" xfId="1" applyBorder="1" applyAlignment="1">
      <alignment horizontal="center" textRotation="90"/>
    </xf>
    <xf numFmtId="0" fontId="2" fillId="0" borderId="30" xfId="1" applyBorder="1" applyAlignment="1">
      <alignment horizontal="center" textRotation="90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24" xfId="0" applyFont="1" applyBorder="1" applyAlignment="1">
      <alignment horizontal="center" textRotation="90"/>
    </xf>
    <xf numFmtId="0" fontId="7" fillId="0" borderId="33" xfId="0" applyFont="1" applyBorder="1" applyAlignment="1">
      <alignment horizontal="center" textRotation="90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textRotation="90"/>
    </xf>
    <xf numFmtId="0" fontId="3" fillId="0" borderId="5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textRotation="90"/>
    </xf>
    <xf numFmtId="0" fontId="7" fillId="0" borderId="1" xfId="0" applyFont="1" applyBorder="1" applyAlignment="1">
      <alignment horizontal="center" textRotation="90"/>
    </xf>
    <xf numFmtId="0" fontId="7" fillId="0" borderId="16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0" xfId="0" applyFont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26" xfId="0" applyFont="1" applyBorder="1" applyAlignment="1">
      <alignment horizontal="center" textRotation="90"/>
    </xf>
    <xf numFmtId="0" fontId="7" fillId="0" borderId="27" xfId="0" applyFont="1" applyBorder="1" applyAlignment="1">
      <alignment horizontal="center" textRotation="90"/>
    </xf>
    <xf numFmtId="0" fontId="7" fillId="0" borderId="28" xfId="0" applyFont="1" applyBorder="1" applyAlignment="1">
      <alignment horizontal="center" textRotation="90"/>
    </xf>
    <xf numFmtId="0" fontId="4" fillId="0" borderId="0" xfId="0" applyFont="1" applyAlignment="1">
      <alignment horizontal="left"/>
    </xf>
    <xf numFmtId="0" fontId="3" fillId="0" borderId="8" xfId="0" applyFont="1" applyBorder="1" applyAlignment="1">
      <alignment horizontal="right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">
    <cellStyle name="Гиперссылка" xfId="1" builtinId="8"/>
    <cellStyle name="Обычный" xfId="0" builtinId="0"/>
    <cellStyle name="Обычный 2 4" xfId="2"/>
    <cellStyle name="Финансовый" xfId="3" builtinId="3"/>
  </cellStyles>
  <dxfs count="76"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numFmt numFmtId="34" formatCode="_-* #,##0.00\ &quot;₽&quot;_-;\-* #,##0.00\ &quot;₽&quot;_-;_-* &quot;-&quot;??\ &quot;₽&quot;_-;_-@_-"/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fill>
        <patternFill patternType="solid">
          <fgColor indexed="64"/>
          <bgColor rgb="FFFFFF00"/>
        </patternFill>
      </fill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numFmt numFmtId="34" formatCode="_-* #,##0.00\ &quot;₽&quot;_-;\-* #,##0.00\ &quot;₽&quot;_-;_-* &quot;-&quot;??\ &quot;₽&quot;_-;_-@_-"/>
      <protection locked="0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i/>
        <strike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i/>
        <strike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i/>
        <strike val="0"/>
        <outline val="0"/>
        <shadow val="0"/>
        <u val="none"/>
        <vertAlign val="baseline"/>
        <sz val="14"/>
        <color theme="1"/>
        <name val="GOST Common"/>
        <scheme val="none"/>
      </font>
      <alignment horizontal="left" vertical="top" textRotation="0" wrapText="0" indent="0" justifyLastLine="0" shrinkToFit="0" readingOrder="0"/>
      <protection locked="0" hidden="0"/>
    </dxf>
    <dxf>
      <font>
        <i/>
        <strike val="0"/>
        <outline val="0"/>
        <shadow val="0"/>
        <u val="none"/>
        <vertAlign val="baseline"/>
        <sz val="12"/>
        <color theme="1"/>
        <name val="GOST Common"/>
        <scheme val="none"/>
      </font>
      <numFmt numFmtId="34" formatCode="_-* #,##0.00\ &quot;₽&quot;_-;\-* #,##0.00\ &quot;₽&quot;_-;_-* &quot;-&quot;??\ &quot;₽&quot;_-;_-@_-"/>
      <protection locked="0" hidden="0"/>
    </dxf>
    <dxf>
      <font>
        <i/>
        <strike val="0"/>
        <outline val="0"/>
        <shadow val="0"/>
        <u val="none"/>
        <vertAlign val="baseline"/>
        <sz val="12"/>
        <color theme="1"/>
        <name val="GOST Common"/>
        <scheme val="none"/>
      </font>
      <numFmt numFmtId="34" formatCode="_-* #,##0.00\ &quot;₽&quot;_-;\-* #,##0.00\ &quot;₽&quot;_-;_-* &quot;-&quot;??\ &quot;₽&quot;_-;_-@_-"/>
      <protection locked="0" hidden="0"/>
    </dxf>
    <dxf>
      <font>
        <i/>
        <strike val="0"/>
        <outline val="0"/>
        <shadow val="0"/>
        <u val="none"/>
        <vertAlign val="baseline"/>
        <sz val="12"/>
        <color theme="1"/>
        <name val="GOST Common"/>
        <scheme val="none"/>
      </font>
      <protection locked="0" hidden="0"/>
    </dxf>
    <dxf>
      <font>
        <i/>
        <strike val="0"/>
        <outline val="0"/>
        <shadow val="0"/>
        <u val="none"/>
        <vertAlign val="baseline"/>
        <sz val="12"/>
        <color theme="1"/>
        <name val="GOST Common"/>
        <scheme val="none"/>
      </font>
      <protection locked="0" hidden="0"/>
    </dxf>
    <dxf>
      <font>
        <i/>
        <strike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/>
        <i/>
        <strike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i/>
        <strike val="0"/>
        <outline val="0"/>
        <shadow val="0"/>
        <u val="none"/>
        <vertAlign val="baseline"/>
        <sz val="14"/>
        <color theme="1"/>
        <name val="GOST Common"/>
        <scheme val="none"/>
      </font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34" formatCode="_-* #,##0.00\ &quot;₽&quot;_-;\-* #,##0.00\ &quot;₽&quot;_-;_-* &quot;-&quot;??\ &quot;₽&quot;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numFmt numFmtId="164" formatCode="#,##0.00\ &quot;₽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theme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20"/>
        <color auto="1"/>
        <name val="GOST Commo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i/>
        <strike val="0"/>
        <outline val="0"/>
        <shadow val="0"/>
        <u val="none"/>
        <vertAlign val="baseline"/>
        <sz val="20"/>
        <name val="GOST Commo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2" Type="http://schemas.openxmlformats.org/officeDocument/2006/relationships/image" Target="../media/image12.jpg"/><Relationship Id="rId33" Type="http://schemas.openxmlformats.org/officeDocument/2006/relationships/image" Target="../media/image33.jpg"/><Relationship Id="rId108" Type="http://schemas.openxmlformats.org/officeDocument/2006/relationships/image" Target="../media/image108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3" Type="http://schemas.openxmlformats.org/officeDocument/2006/relationships/image" Target="../media/image3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26" Type="http://schemas.openxmlformats.org/officeDocument/2006/relationships/image" Target="../media/image26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6" Type="http://schemas.openxmlformats.org/officeDocument/2006/relationships/image" Target="../media/image16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" Type="http://schemas.openxmlformats.org/officeDocument/2006/relationships/image" Target="../media/image17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24" Type="http://schemas.openxmlformats.org/officeDocument/2006/relationships/image" Target="../media/image1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3</xdr:row>
      <xdr:rowOff>22860</xdr:rowOff>
    </xdr:from>
    <xdr:to>
      <xdr:col>1</xdr:col>
      <xdr:colOff>1890326</xdr:colOff>
      <xdr:row>3</xdr:row>
      <xdr:rowOff>1927860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1346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</xdr:row>
      <xdr:rowOff>22860</xdr:rowOff>
    </xdr:from>
    <xdr:to>
      <xdr:col>1</xdr:col>
      <xdr:colOff>1890326</xdr:colOff>
      <xdr:row>4</xdr:row>
      <xdr:rowOff>1927860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96418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</xdr:row>
      <xdr:rowOff>22860</xdr:rowOff>
    </xdr:from>
    <xdr:to>
      <xdr:col>1</xdr:col>
      <xdr:colOff>1890326</xdr:colOff>
      <xdr:row>5</xdr:row>
      <xdr:rowOff>1927860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49149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</xdr:row>
      <xdr:rowOff>22860</xdr:rowOff>
    </xdr:from>
    <xdr:to>
      <xdr:col>1</xdr:col>
      <xdr:colOff>1890326</xdr:colOff>
      <xdr:row>6</xdr:row>
      <xdr:rowOff>1927860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686562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</xdr:row>
      <xdr:rowOff>22860</xdr:rowOff>
    </xdr:from>
    <xdr:to>
      <xdr:col>1</xdr:col>
      <xdr:colOff>1890326</xdr:colOff>
      <xdr:row>7</xdr:row>
      <xdr:rowOff>1927860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881634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</xdr:row>
      <xdr:rowOff>22860</xdr:rowOff>
    </xdr:from>
    <xdr:to>
      <xdr:col>1</xdr:col>
      <xdr:colOff>1890326</xdr:colOff>
      <xdr:row>8</xdr:row>
      <xdr:rowOff>1927860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76706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</xdr:row>
      <xdr:rowOff>22860</xdr:rowOff>
    </xdr:from>
    <xdr:to>
      <xdr:col>1</xdr:col>
      <xdr:colOff>1890326</xdr:colOff>
      <xdr:row>9</xdr:row>
      <xdr:rowOff>1927860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271778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</xdr:row>
      <xdr:rowOff>22860</xdr:rowOff>
    </xdr:from>
    <xdr:to>
      <xdr:col>1</xdr:col>
      <xdr:colOff>1890326</xdr:colOff>
      <xdr:row>10</xdr:row>
      <xdr:rowOff>1927860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46685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</xdr:row>
      <xdr:rowOff>22860</xdr:rowOff>
    </xdr:from>
    <xdr:to>
      <xdr:col>1</xdr:col>
      <xdr:colOff>1890326</xdr:colOff>
      <xdr:row>11</xdr:row>
      <xdr:rowOff>1927860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661922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</xdr:row>
      <xdr:rowOff>22859</xdr:rowOff>
    </xdr:from>
    <xdr:to>
      <xdr:col>1</xdr:col>
      <xdr:colOff>1890326</xdr:colOff>
      <xdr:row>12</xdr:row>
      <xdr:rowOff>1927859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856993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</xdr:row>
      <xdr:rowOff>22861</xdr:rowOff>
    </xdr:from>
    <xdr:to>
      <xdr:col>1</xdr:col>
      <xdr:colOff>1890326</xdr:colOff>
      <xdr:row>13</xdr:row>
      <xdr:rowOff>1927861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052066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</xdr:row>
      <xdr:rowOff>22860</xdr:rowOff>
    </xdr:from>
    <xdr:to>
      <xdr:col>1</xdr:col>
      <xdr:colOff>1890326</xdr:colOff>
      <xdr:row>14</xdr:row>
      <xdr:rowOff>1927860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247138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</xdr:row>
      <xdr:rowOff>22860</xdr:rowOff>
    </xdr:from>
    <xdr:to>
      <xdr:col>1</xdr:col>
      <xdr:colOff>1890326</xdr:colOff>
      <xdr:row>15</xdr:row>
      <xdr:rowOff>1927860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44221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</xdr:row>
      <xdr:rowOff>22861</xdr:rowOff>
    </xdr:from>
    <xdr:to>
      <xdr:col>1</xdr:col>
      <xdr:colOff>1890326</xdr:colOff>
      <xdr:row>16</xdr:row>
      <xdr:rowOff>1927861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63728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</xdr:row>
      <xdr:rowOff>22859</xdr:rowOff>
    </xdr:from>
    <xdr:to>
      <xdr:col>1</xdr:col>
      <xdr:colOff>1890326</xdr:colOff>
      <xdr:row>19</xdr:row>
      <xdr:rowOff>1927859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832353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</xdr:row>
      <xdr:rowOff>22861</xdr:rowOff>
    </xdr:from>
    <xdr:to>
      <xdr:col>1</xdr:col>
      <xdr:colOff>1890326</xdr:colOff>
      <xdr:row>22</xdr:row>
      <xdr:rowOff>1927861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027426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23</xdr:row>
      <xdr:rowOff>22859</xdr:rowOff>
    </xdr:from>
    <xdr:to>
      <xdr:col>1</xdr:col>
      <xdr:colOff>1890326</xdr:colOff>
      <xdr:row>23</xdr:row>
      <xdr:rowOff>1927859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22249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24</xdr:row>
      <xdr:rowOff>22860</xdr:rowOff>
    </xdr:from>
    <xdr:to>
      <xdr:col>1</xdr:col>
      <xdr:colOff>1890326</xdr:colOff>
      <xdr:row>24</xdr:row>
      <xdr:rowOff>1927860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41757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25</xdr:row>
      <xdr:rowOff>22861</xdr:rowOff>
    </xdr:from>
    <xdr:to>
      <xdr:col>1</xdr:col>
      <xdr:colOff>1890326</xdr:colOff>
      <xdr:row>25</xdr:row>
      <xdr:rowOff>1927861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61264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28</xdr:row>
      <xdr:rowOff>22859</xdr:rowOff>
    </xdr:from>
    <xdr:to>
      <xdr:col>1</xdr:col>
      <xdr:colOff>1890326</xdr:colOff>
      <xdr:row>28</xdr:row>
      <xdr:rowOff>1927859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807713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31</xdr:row>
      <xdr:rowOff>22861</xdr:rowOff>
    </xdr:from>
    <xdr:to>
      <xdr:col>1</xdr:col>
      <xdr:colOff>1890326</xdr:colOff>
      <xdr:row>31</xdr:row>
      <xdr:rowOff>1927861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4002786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32</xdr:row>
      <xdr:rowOff>22859</xdr:rowOff>
    </xdr:from>
    <xdr:to>
      <xdr:col>1</xdr:col>
      <xdr:colOff>1890326</xdr:colOff>
      <xdr:row>32</xdr:row>
      <xdr:rowOff>1927859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419785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33</xdr:row>
      <xdr:rowOff>22860</xdr:rowOff>
    </xdr:from>
    <xdr:to>
      <xdr:col>1</xdr:col>
      <xdr:colOff>1890326</xdr:colOff>
      <xdr:row>33</xdr:row>
      <xdr:rowOff>1927860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439293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36</xdr:row>
      <xdr:rowOff>22861</xdr:rowOff>
    </xdr:from>
    <xdr:to>
      <xdr:col>1</xdr:col>
      <xdr:colOff>1890326</xdr:colOff>
      <xdr:row>36</xdr:row>
      <xdr:rowOff>1927861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458800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38</xdr:row>
      <xdr:rowOff>22859</xdr:rowOff>
    </xdr:from>
    <xdr:to>
      <xdr:col>1</xdr:col>
      <xdr:colOff>1890326</xdr:colOff>
      <xdr:row>38</xdr:row>
      <xdr:rowOff>1927859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4783073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40</xdr:row>
      <xdr:rowOff>22861</xdr:rowOff>
    </xdr:from>
    <xdr:to>
      <xdr:col>1</xdr:col>
      <xdr:colOff>1890326</xdr:colOff>
      <xdr:row>40</xdr:row>
      <xdr:rowOff>1927861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501091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41</xdr:row>
      <xdr:rowOff>22862</xdr:rowOff>
    </xdr:from>
    <xdr:to>
      <xdr:col>1</xdr:col>
      <xdr:colOff>1890326</xdr:colOff>
      <xdr:row>41</xdr:row>
      <xdr:rowOff>1927862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520598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42</xdr:row>
      <xdr:rowOff>22858</xdr:rowOff>
    </xdr:from>
    <xdr:to>
      <xdr:col>1</xdr:col>
      <xdr:colOff>1890326</xdr:colOff>
      <xdr:row>42</xdr:row>
      <xdr:rowOff>1927858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540105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43</xdr:row>
      <xdr:rowOff>22859</xdr:rowOff>
    </xdr:from>
    <xdr:to>
      <xdr:col>1</xdr:col>
      <xdr:colOff>1890326</xdr:colOff>
      <xdr:row>43</xdr:row>
      <xdr:rowOff>1927859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559612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44</xdr:row>
      <xdr:rowOff>22860</xdr:rowOff>
    </xdr:from>
    <xdr:to>
      <xdr:col>1</xdr:col>
      <xdr:colOff>1890326</xdr:colOff>
      <xdr:row>44</xdr:row>
      <xdr:rowOff>1927860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579120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45</xdr:row>
      <xdr:rowOff>22861</xdr:rowOff>
    </xdr:from>
    <xdr:to>
      <xdr:col>1</xdr:col>
      <xdr:colOff>1890326</xdr:colOff>
      <xdr:row>45</xdr:row>
      <xdr:rowOff>1927861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598627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46</xdr:row>
      <xdr:rowOff>22862</xdr:rowOff>
    </xdr:from>
    <xdr:to>
      <xdr:col>1</xdr:col>
      <xdr:colOff>1890326</xdr:colOff>
      <xdr:row>46</xdr:row>
      <xdr:rowOff>1927862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618134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47</xdr:row>
      <xdr:rowOff>22858</xdr:rowOff>
    </xdr:from>
    <xdr:to>
      <xdr:col>1</xdr:col>
      <xdr:colOff>1890326</xdr:colOff>
      <xdr:row>47</xdr:row>
      <xdr:rowOff>1927858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637641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48</xdr:row>
      <xdr:rowOff>22859</xdr:rowOff>
    </xdr:from>
    <xdr:to>
      <xdr:col>1</xdr:col>
      <xdr:colOff>1890326</xdr:colOff>
      <xdr:row>48</xdr:row>
      <xdr:rowOff>1927859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657148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49</xdr:row>
      <xdr:rowOff>22860</xdr:rowOff>
    </xdr:from>
    <xdr:to>
      <xdr:col>1</xdr:col>
      <xdr:colOff>1890326</xdr:colOff>
      <xdr:row>49</xdr:row>
      <xdr:rowOff>1927860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676656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52</xdr:row>
      <xdr:rowOff>22861</xdr:rowOff>
    </xdr:from>
    <xdr:to>
      <xdr:col>1</xdr:col>
      <xdr:colOff>1890326</xdr:colOff>
      <xdr:row>52</xdr:row>
      <xdr:rowOff>1927861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696163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55</xdr:row>
      <xdr:rowOff>22862</xdr:rowOff>
    </xdr:from>
    <xdr:to>
      <xdr:col>1</xdr:col>
      <xdr:colOff>1890326</xdr:colOff>
      <xdr:row>55</xdr:row>
      <xdr:rowOff>1927862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715670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56</xdr:row>
      <xdr:rowOff>22858</xdr:rowOff>
    </xdr:from>
    <xdr:to>
      <xdr:col>1</xdr:col>
      <xdr:colOff>1890326</xdr:colOff>
      <xdr:row>56</xdr:row>
      <xdr:rowOff>1927858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735177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58</xdr:row>
      <xdr:rowOff>22859</xdr:rowOff>
    </xdr:from>
    <xdr:to>
      <xdr:col>1</xdr:col>
      <xdr:colOff>1890326</xdr:colOff>
      <xdr:row>58</xdr:row>
      <xdr:rowOff>1927859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754684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61</xdr:row>
      <xdr:rowOff>22860</xdr:rowOff>
    </xdr:from>
    <xdr:to>
      <xdr:col>1</xdr:col>
      <xdr:colOff>1890326</xdr:colOff>
      <xdr:row>61</xdr:row>
      <xdr:rowOff>1927860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774192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63</xdr:row>
      <xdr:rowOff>22861</xdr:rowOff>
    </xdr:from>
    <xdr:to>
      <xdr:col>1</xdr:col>
      <xdr:colOff>1890326</xdr:colOff>
      <xdr:row>63</xdr:row>
      <xdr:rowOff>1927861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793699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64</xdr:row>
      <xdr:rowOff>22862</xdr:rowOff>
    </xdr:from>
    <xdr:to>
      <xdr:col>1</xdr:col>
      <xdr:colOff>1890326</xdr:colOff>
      <xdr:row>64</xdr:row>
      <xdr:rowOff>1927862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813206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65</xdr:row>
      <xdr:rowOff>22858</xdr:rowOff>
    </xdr:from>
    <xdr:to>
      <xdr:col>1</xdr:col>
      <xdr:colOff>1890326</xdr:colOff>
      <xdr:row>65</xdr:row>
      <xdr:rowOff>1927858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832713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68</xdr:row>
      <xdr:rowOff>22859</xdr:rowOff>
    </xdr:from>
    <xdr:to>
      <xdr:col>1</xdr:col>
      <xdr:colOff>1890326</xdr:colOff>
      <xdr:row>68</xdr:row>
      <xdr:rowOff>1927859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852220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71</xdr:row>
      <xdr:rowOff>22860</xdr:rowOff>
    </xdr:from>
    <xdr:to>
      <xdr:col>1</xdr:col>
      <xdr:colOff>1890326</xdr:colOff>
      <xdr:row>71</xdr:row>
      <xdr:rowOff>1927860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871728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74</xdr:row>
      <xdr:rowOff>22861</xdr:rowOff>
    </xdr:from>
    <xdr:to>
      <xdr:col>1</xdr:col>
      <xdr:colOff>1890326</xdr:colOff>
      <xdr:row>74</xdr:row>
      <xdr:rowOff>1927861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891235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75</xdr:row>
      <xdr:rowOff>22862</xdr:rowOff>
    </xdr:from>
    <xdr:to>
      <xdr:col>1</xdr:col>
      <xdr:colOff>1890326</xdr:colOff>
      <xdr:row>75</xdr:row>
      <xdr:rowOff>1927862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910742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78</xdr:row>
      <xdr:rowOff>22858</xdr:rowOff>
    </xdr:from>
    <xdr:to>
      <xdr:col>1</xdr:col>
      <xdr:colOff>1890326</xdr:colOff>
      <xdr:row>78</xdr:row>
      <xdr:rowOff>1927858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930249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81</xdr:row>
      <xdr:rowOff>22859</xdr:rowOff>
    </xdr:from>
    <xdr:to>
      <xdr:col>1</xdr:col>
      <xdr:colOff>1890326</xdr:colOff>
      <xdr:row>81</xdr:row>
      <xdr:rowOff>1927859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94975679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82</xdr:row>
      <xdr:rowOff>22860</xdr:rowOff>
    </xdr:from>
    <xdr:to>
      <xdr:col>1</xdr:col>
      <xdr:colOff>1890326</xdr:colOff>
      <xdr:row>82</xdr:row>
      <xdr:rowOff>1927860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969264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83</xdr:row>
      <xdr:rowOff>22861</xdr:rowOff>
    </xdr:from>
    <xdr:to>
      <xdr:col>1</xdr:col>
      <xdr:colOff>1890326</xdr:colOff>
      <xdr:row>83</xdr:row>
      <xdr:rowOff>1927861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98877121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84</xdr:row>
      <xdr:rowOff>22862</xdr:rowOff>
    </xdr:from>
    <xdr:to>
      <xdr:col>1</xdr:col>
      <xdr:colOff>1890326</xdr:colOff>
      <xdr:row>84</xdr:row>
      <xdr:rowOff>1927862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08278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85</xdr:row>
      <xdr:rowOff>22858</xdr:rowOff>
    </xdr:from>
    <xdr:to>
      <xdr:col>1</xdr:col>
      <xdr:colOff>1890326</xdr:colOff>
      <xdr:row>85</xdr:row>
      <xdr:rowOff>1927858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27785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86</xdr:row>
      <xdr:rowOff>22865</xdr:rowOff>
    </xdr:from>
    <xdr:to>
      <xdr:col>1</xdr:col>
      <xdr:colOff>1890326</xdr:colOff>
      <xdr:row>86</xdr:row>
      <xdr:rowOff>2683348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47292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87</xdr:row>
      <xdr:rowOff>22860</xdr:rowOff>
    </xdr:from>
    <xdr:to>
      <xdr:col>1</xdr:col>
      <xdr:colOff>1890326</xdr:colOff>
      <xdr:row>87</xdr:row>
      <xdr:rowOff>1927860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66800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88</xdr:row>
      <xdr:rowOff>22855</xdr:rowOff>
    </xdr:from>
    <xdr:to>
      <xdr:col>1</xdr:col>
      <xdr:colOff>1890326</xdr:colOff>
      <xdr:row>88</xdr:row>
      <xdr:rowOff>1927855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086307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89</xdr:row>
      <xdr:rowOff>22862</xdr:rowOff>
    </xdr:from>
    <xdr:to>
      <xdr:col>1</xdr:col>
      <xdr:colOff>1890326</xdr:colOff>
      <xdr:row>89</xdr:row>
      <xdr:rowOff>1927862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105814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90</xdr:row>
      <xdr:rowOff>22858</xdr:rowOff>
    </xdr:from>
    <xdr:to>
      <xdr:col>1</xdr:col>
      <xdr:colOff>1890326</xdr:colOff>
      <xdr:row>90</xdr:row>
      <xdr:rowOff>1927858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125321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93</xdr:row>
      <xdr:rowOff>22865</xdr:rowOff>
    </xdr:from>
    <xdr:to>
      <xdr:col>1</xdr:col>
      <xdr:colOff>1890326</xdr:colOff>
      <xdr:row>93</xdr:row>
      <xdr:rowOff>1927865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144828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94</xdr:row>
      <xdr:rowOff>22860</xdr:rowOff>
    </xdr:from>
    <xdr:to>
      <xdr:col>1</xdr:col>
      <xdr:colOff>1890326</xdr:colOff>
      <xdr:row>94</xdr:row>
      <xdr:rowOff>1927860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164336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95</xdr:row>
      <xdr:rowOff>22855</xdr:rowOff>
    </xdr:from>
    <xdr:to>
      <xdr:col>1</xdr:col>
      <xdr:colOff>1890326</xdr:colOff>
      <xdr:row>95</xdr:row>
      <xdr:rowOff>1927855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183843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96</xdr:row>
      <xdr:rowOff>22862</xdr:rowOff>
    </xdr:from>
    <xdr:to>
      <xdr:col>1</xdr:col>
      <xdr:colOff>1890326</xdr:colOff>
      <xdr:row>96</xdr:row>
      <xdr:rowOff>1927862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203350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97</xdr:row>
      <xdr:rowOff>22858</xdr:rowOff>
    </xdr:from>
    <xdr:to>
      <xdr:col>1</xdr:col>
      <xdr:colOff>1890326</xdr:colOff>
      <xdr:row>97</xdr:row>
      <xdr:rowOff>2448475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222857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98</xdr:row>
      <xdr:rowOff>22865</xdr:rowOff>
    </xdr:from>
    <xdr:to>
      <xdr:col>1</xdr:col>
      <xdr:colOff>1890326</xdr:colOff>
      <xdr:row>98</xdr:row>
      <xdr:rowOff>1927865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242364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99</xdr:row>
      <xdr:rowOff>22860</xdr:rowOff>
    </xdr:from>
    <xdr:to>
      <xdr:col>1</xdr:col>
      <xdr:colOff>1890326</xdr:colOff>
      <xdr:row>99</xdr:row>
      <xdr:rowOff>2448476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261872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100</xdr:row>
      <xdr:rowOff>22855</xdr:rowOff>
    </xdr:from>
    <xdr:to>
      <xdr:col>1</xdr:col>
      <xdr:colOff>1890326</xdr:colOff>
      <xdr:row>100</xdr:row>
      <xdr:rowOff>2448474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281379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101</xdr:row>
      <xdr:rowOff>22862</xdr:rowOff>
    </xdr:from>
    <xdr:to>
      <xdr:col>1</xdr:col>
      <xdr:colOff>1890326</xdr:colOff>
      <xdr:row>101</xdr:row>
      <xdr:rowOff>2448478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300886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102</xdr:row>
      <xdr:rowOff>22858</xdr:rowOff>
    </xdr:from>
    <xdr:to>
      <xdr:col>1</xdr:col>
      <xdr:colOff>1890326</xdr:colOff>
      <xdr:row>102</xdr:row>
      <xdr:rowOff>1927858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320393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103</xdr:row>
      <xdr:rowOff>22865</xdr:rowOff>
    </xdr:from>
    <xdr:to>
      <xdr:col>1</xdr:col>
      <xdr:colOff>1890326</xdr:colOff>
      <xdr:row>103</xdr:row>
      <xdr:rowOff>1927865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339900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104</xdr:row>
      <xdr:rowOff>22860</xdr:rowOff>
    </xdr:from>
    <xdr:to>
      <xdr:col>1</xdr:col>
      <xdr:colOff>1890326</xdr:colOff>
      <xdr:row>104</xdr:row>
      <xdr:rowOff>1927860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359408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105</xdr:row>
      <xdr:rowOff>22855</xdr:rowOff>
    </xdr:from>
    <xdr:to>
      <xdr:col>1</xdr:col>
      <xdr:colOff>1890326</xdr:colOff>
      <xdr:row>105</xdr:row>
      <xdr:rowOff>1927855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378915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106</xdr:row>
      <xdr:rowOff>22862</xdr:rowOff>
    </xdr:from>
    <xdr:to>
      <xdr:col>1</xdr:col>
      <xdr:colOff>1890326</xdr:colOff>
      <xdr:row>106</xdr:row>
      <xdr:rowOff>1927862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398422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107</xdr:row>
      <xdr:rowOff>22858</xdr:rowOff>
    </xdr:from>
    <xdr:to>
      <xdr:col>1</xdr:col>
      <xdr:colOff>1890326</xdr:colOff>
      <xdr:row>107</xdr:row>
      <xdr:rowOff>1927858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417929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108</xdr:row>
      <xdr:rowOff>22865</xdr:rowOff>
    </xdr:from>
    <xdr:to>
      <xdr:col>1</xdr:col>
      <xdr:colOff>1890326</xdr:colOff>
      <xdr:row>108</xdr:row>
      <xdr:rowOff>1927865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437436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110</xdr:row>
      <xdr:rowOff>22860</xdr:rowOff>
    </xdr:from>
    <xdr:to>
      <xdr:col>1</xdr:col>
      <xdr:colOff>1890326</xdr:colOff>
      <xdr:row>110</xdr:row>
      <xdr:rowOff>1927860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456944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112</xdr:row>
      <xdr:rowOff>22865</xdr:rowOff>
    </xdr:from>
    <xdr:to>
      <xdr:col>1</xdr:col>
      <xdr:colOff>1890326</xdr:colOff>
      <xdr:row>112</xdr:row>
      <xdr:rowOff>1927865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479727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113</xdr:row>
      <xdr:rowOff>22860</xdr:rowOff>
    </xdr:from>
    <xdr:to>
      <xdr:col>1</xdr:col>
      <xdr:colOff>1890326</xdr:colOff>
      <xdr:row>113</xdr:row>
      <xdr:rowOff>1927860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499235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114</xdr:row>
      <xdr:rowOff>22855</xdr:rowOff>
    </xdr:from>
    <xdr:to>
      <xdr:col>1</xdr:col>
      <xdr:colOff>1890326</xdr:colOff>
      <xdr:row>114</xdr:row>
      <xdr:rowOff>1927855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518742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115</xdr:row>
      <xdr:rowOff>22862</xdr:rowOff>
    </xdr:from>
    <xdr:to>
      <xdr:col>1</xdr:col>
      <xdr:colOff>1890326</xdr:colOff>
      <xdr:row>115</xdr:row>
      <xdr:rowOff>1927862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538249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116</xdr:row>
      <xdr:rowOff>22858</xdr:rowOff>
    </xdr:from>
    <xdr:to>
      <xdr:col>1</xdr:col>
      <xdr:colOff>1890326</xdr:colOff>
      <xdr:row>116</xdr:row>
      <xdr:rowOff>1927858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557756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117</xdr:row>
      <xdr:rowOff>22865</xdr:rowOff>
    </xdr:from>
    <xdr:to>
      <xdr:col>1</xdr:col>
      <xdr:colOff>1890326</xdr:colOff>
      <xdr:row>117</xdr:row>
      <xdr:rowOff>1927865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577263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118</xdr:row>
      <xdr:rowOff>22860</xdr:rowOff>
    </xdr:from>
    <xdr:to>
      <xdr:col>1</xdr:col>
      <xdr:colOff>1890326</xdr:colOff>
      <xdr:row>118</xdr:row>
      <xdr:rowOff>1927860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596771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119</xdr:row>
      <xdr:rowOff>22855</xdr:rowOff>
    </xdr:from>
    <xdr:to>
      <xdr:col>1</xdr:col>
      <xdr:colOff>1890326</xdr:colOff>
      <xdr:row>119</xdr:row>
      <xdr:rowOff>1927855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616278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120</xdr:row>
      <xdr:rowOff>22862</xdr:rowOff>
    </xdr:from>
    <xdr:to>
      <xdr:col>1</xdr:col>
      <xdr:colOff>1890326</xdr:colOff>
      <xdr:row>120</xdr:row>
      <xdr:rowOff>1927862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635785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121</xdr:row>
      <xdr:rowOff>22858</xdr:rowOff>
    </xdr:from>
    <xdr:to>
      <xdr:col>1</xdr:col>
      <xdr:colOff>1890326</xdr:colOff>
      <xdr:row>121</xdr:row>
      <xdr:rowOff>1927858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655292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122</xdr:row>
      <xdr:rowOff>22865</xdr:rowOff>
    </xdr:from>
    <xdr:to>
      <xdr:col>1</xdr:col>
      <xdr:colOff>1890326</xdr:colOff>
      <xdr:row>122</xdr:row>
      <xdr:rowOff>1927865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674799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123</xdr:row>
      <xdr:rowOff>22860</xdr:rowOff>
    </xdr:from>
    <xdr:to>
      <xdr:col>1</xdr:col>
      <xdr:colOff>1890326</xdr:colOff>
      <xdr:row>123</xdr:row>
      <xdr:rowOff>1927860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694307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124</xdr:row>
      <xdr:rowOff>22855</xdr:rowOff>
    </xdr:from>
    <xdr:to>
      <xdr:col>1</xdr:col>
      <xdr:colOff>1890326</xdr:colOff>
      <xdr:row>124</xdr:row>
      <xdr:rowOff>1927855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713814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125</xdr:row>
      <xdr:rowOff>22862</xdr:rowOff>
    </xdr:from>
    <xdr:to>
      <xdr:col>1</xdr:col>
      <xdr:colOff>1890326</xdr:colOff>
      <xdr:row>125</xdr:row>
      <xdr:rowOff>1927862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733321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126</xdr:row>
      <xdr:rowOff>22858</xdr:rowOff>
    </xdr:from>
    <xdr:to>
      <xdr:col>1</xdr:col>
      <xdr:colOff>1890326</xdr:colOff>
      <xdr:row>126</xdr:row>
      <xdr:rowOff>1927858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752828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127</xdr:row>
      <xdr:rowOff>22865</xdr:rowOff>
    </xdr:from>
    <xdr:to>
      <xdr:col>1</xdr:col>
      <xdr:colOff>1890326</xdr:colOff>
      <xdr:row>127</xdr:row>
      <xdr:rowOff>1927865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772335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128</xdr:row>
      <xdr:rowOff>22860</xdr:rowOff>
    </xdr:from>
    <xdr:to>
      <xdr:col>1</xdr:col>
      <xdr:colOff>1890326</xdr:colOff>
      <xdr:row>128</xdr:row>
      <xdr:rowOff>1927860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791843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129</xdr:row>
      <xdr:rowOff>25174</xdr:rowOff>
    </xdr:from>
    <xdr:to>
      <xdr:col>1</xdr:col>
      <xdr:colOff>1890326</xdr:colOff>
      <xdr:row>129</xdr:row>
      <xdr:rowOff>2565628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81137334"/>
          <a:ext cx="1905000" cy="2540454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130</xdr:row>
      <xdr:rowOff>22855</xdr:rowOff>
    </xdr:from>
    <xdr:to>
      <xdr:col>1</xdr:col>
      <xdr:colOff>1890326</xdr:colOff>
      <xdr:row>130</xdr:row>
      <xdr:rowOff>1927855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837258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131</xdr:row>
      <xdr:rowOff>22862</xdr:rowOff>
    </xdr:from>
    <xdr:to>
      <xdr:col>1</xdr:col>
      <xdr:colOff>1890326</xdr:colOff>
      <xdr:row>131</xdr:row>
      <xdr:rowOff>1927862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856765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132</xdr:row>
      <xdr:rowOff>22858</xdr:rowOff>
    </xdr:from>
    <xdr:to>
      <xdr:col>1</xdr:col>
      <xdr:colOff>1890326</xdr:colOff>
      <xdr:row>132</xdr:row>
      <xdr:rowOff>1927858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876272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133</xdr:row>
      <xdr:rowOff>22865</xdr:rowOff>
    </xdr:from>
    <xdr:to>
      <xdr:col>1</xdr:col>
      <xdr:colOff>1890326</xdr:colOff>
      <xdr:row>133</xdr:row>
      <xdr:rowOff>1927865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895779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134</xdr:row>
      <xdr:rowOff>22860</xdr:rowOff>
    </xdr:from>
    <xdr:to>
      <xdr:col>1</xdr:col>
      <xdr:colOff>1890326</xdr:colOff>
      <xdr:row>134</xdr:row>
      <xdr:rowOff>1927860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915287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135</xdr:row>
      <xdr:rowOff>22855</xdr:rowOff>
    </xdr:from>
    <xdr:to>
      <xdr:col>1</xdr:col>
      <xdr:colOff>1890326</xdr:colOff>
      <xdr:row>135</xdr:row>
      <xdr:rowOff>1927855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934794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136</xdr:row>
      <xdr:rowOff>22862</xdr:rowOff>
    </xdr:from>
    <xdr:to>
      <xdr:col>1</xdr:col>
      <xdr:colOff>1890326</xdr:colOff>
      <xdr:row>136</xdr:row>
      <xdr:rowOff>1927862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95430142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137</xdr:row>
      <xdr:rowOff>22858</xdr:rowOff>
    </xdr:from>
    <xdr:to>
      <xdr:col>1</xdr:col>
      <xdr:colOff>1890326</xdr:colOff>
      <xdr:row>137</xdr:row>
      <xdr:rowOff>1927858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97380858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138</xdr:row>
      <xdr:rowOff>22865</xdr:rowOff>
    </xdr:from>
    <xdr:to>
      <xdr:col>1</xdr:col>
      <xdr:colOff>1890326</xdr:colOff>
      <xdr:row>138</xdr:row>
      <xdr:rowOff>1927865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1993315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139</xdr:row>
      <xdr:rowOff>22860</xdr:rowOff>
    </xdr:from>
    <xdr:to>
      <xdr:col>1</xdr:col>
      <xdr:colOff>1890326</xdr:colOff>
      <xdr:row>139</xdr:row>
      <xdr:rowOff>1927860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012823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140</xdr:row>
      <xdr:rowOff>22855</xdr:rowOff>
    </xdr:from>
    <xdr:to>
      <xdr:col>1</xdr:col>
      <xdr:colOff>1890326</xdr:colOff>
      <xdr:row>140</xdr:row>
      <xdr:rowOff>1927855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032330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142</xdr:row>
      <xdr:rowOff>22860</xdr:rowOff>
    </xdr:from>
    <xdr:to>
      <xdr:col>1</xdr:col>
      <xdr:colOff>1890326</xdr:colOff>
      <xdr:row>142</xdr:row>
      <xdr:rowOff>1927860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055114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143</xdr:row>
      <xdr:rowOff>22855</xdr:rowOff>
    </xdr:from>
    <xdr:to>
      <xdr:col>1</xdr:col>
      <xdr:colOff>1890326</xdr:colOff>
      <xdr:row>143</xdr:row>
      <xdr:rowOff>1927855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074621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144</xdr:row>
      <xdr:rowOff>22850</xdr:rowOff>
    </xdr:from>
    <xdr:to>
      <xdr:col>1</xdr:col>
      <xdr:colOff>1890326</xdr:colOff>
      <xdr:row>144</xdr:row>
      <xdr:rowOff>1927850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094128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145</xdr:row>
      <xdr:rowOff>22870</xdr:rowOff>
    </xdr:from>
    <xdr:to>
      <xdr:col>1</xdr:col>
      <xdr:colOff>1890326</xdr:colOff>
      <xdr:row>145</xdr:row>
      <xdr:rowOff>1927870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113635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146</xdr:row>
      <xdr:rowOff>22865</xdr:rowOff>
    </xdr:from>
    <xdr:to>
      <xdr:col>1</xdr:col>
      <xdr:colOff>1890326</xdr:colOff>
      <xdr:row>146</xdr:row>
      <xdr:rowOff>1927865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133142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147</xdr:row>
      <xdr:rowOff>22860</xdr:rowOff>
    </xdr:from>
    <xdr:to>
      <xdr:col>1</xdr:col>
      <xdr:colOff>1890326</xdr:colOff>
      <xdr:row>147</xdr:row>
      <xdr:rowOff>1927860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152650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148</xdr:row>
      <xdr:rowOff>22855</xdr:rowOff>
    </xdr:from>
    <xdr:to>
      <xdr:col>1</xdr:col>
      <xdr:colOff>1890326</xdr:colOff>
      <xdr:row>148</xdr:row>
      <xdr:rowOff>1927855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172157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149</xdr:row>
      <xdr:rowOff>22850</xdr:rowOff>
    </xdr:from>
    <xdr:to>
      <xdr:col>1</xdr:col>
      <xdr:colOff>1890326</xdr:colOff>
      <xdr:row>149</xdr:row>
      <xdr:rowOff>1927850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191664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150</xdr:row>
      <xdr:rowOff>22870</xdr:rowOff>
    </xdr:from>
    <xdr:to>
      <xdr:col>1</xdr:col>
      <xdr:colOff>1890326</xdr:colOff>
      <xdr:row>150</xdr:row>
      <xdr:rowOff>1927870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211171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151</xdr:row>
      <xdr:rowOff>22865</xdr:rowOff>
    </xdr:from>
    <xdr:to>
      <xdr:col>1</xdr:col>
      <xdr:colOff>1890326</xdr:colOff>
      <xdr:row>151</xdr:row>
      <xdr:rowOff>1927865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230678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152</xdr:row>
      <xdr:rowOff>22860</xdr:rowOff>
    </xdr:from>
    <xdr:to>
      <xdr:col>1</xdr:col>
      <xdr:colOff>1890326</xdr:colOff>
      <xdr:row>152</xdr:row>
      <xdr:rowOff>1927860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250186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153</xdr:row>
      <xdr:rowOff>22855</xdr:rowOff>
    </xdr:from>
    <xdr:to>
      <xdr:col>1</xdr:col>
      <xdr:colOff>1890326</xdr:colOff>
      <xdr:row>153</xdr:row>
      <xdr:rowOff>1927855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269693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154</xdr:row>
      <xdr:rowOff>22850</xdr:rowOff>
    </xdr:from>
    <xdr:to>
      <xdr:col>1</xdr:col>
      <xdr:colOff>1890326</xdr:colOff>
      <xdr:row>154</xdr:row>
      <xdr:rowOff>1927850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289200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155</xdr:row>
      <xdr:rowOff>22870</xdr:rowOff>
    </xdr:from>
    <xdr:to>
      <xdr:col>1</xdr:col>
      <xdr:colOff>1890326</xdr:colOff>
      <xdr:row>155</xdr:row>
      <xdr:rowOff>1927870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308707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156</xdr:row>
      <xdr:rowOff>22865</xdr:rowOff>
    </xdr:from>
    <xdr:to>
      <xdr:col>1</xdr:col>
      <xdr:colOff>1890326</xdr:colOff>
      <xdr:row>156</xdr:row>
      <xdr:rowOff>1927865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328214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157</xdr:row>
      <xdr:rowOff>22860</xdr:rowOff>
    </xdr:from>
    <xdr:to>
      <xdr:col>1</xdr:col>
      <xdr:colOff>1890326</xdr:colOff>
      <xdr:row>157</xdr:row>
      <xdr:rowOff>1927860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347722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158</xdr:row>
      <xdr:rowOff>22855</xdr:rowOff>
    </xdr:from>
    <xdr:to>
      <xdr:col>1</xdr:col>
      <xdr:colOff>1890326</xdr:colOff>
      <xdr:row>158</xdr:row>
      <xdr:rowOff>1927855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367229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159</xdr:row>
      <xdr:rowOff>22850</xdr:rowOff>
    </xdr:from>
    <xdr:to>
      <xdr:col>1</xdr:col>
      <xdr:colOff>1890326</xdr:colOff>
      <xdr:row>159</xdr:row>
      <xdr:rowOff>1927850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386736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160</xdr:row>
      <xdr:rowOff>22870</xdr:rowOff>
    </xdr:from>
    <xdr:to>
      <xdr:col>1</xdr:col>
      <xdr:colOff>1890326</xdr:colOff>
      <xdr:row>160</xdr:row>
      <xdr:rowOff>1927870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406243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161</xdr:row>
      <xdr:rowOff>22865</xdr:rowOff>
    </xdr:from>
    <xdr:to>
      <xdr:col>1</xdr:col>
      <xdr:colOff>1890326</xdr:colOff>
      <xdr:row>161</xdr:row>
      <xdr:rowOff>1927865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425750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162</xdr:row>
      <xdr:rowOff>22860</xdr:rowOff>
    </xdr:from>
    <xdr:to>
      <xdr:col>1</xdr:col>
      <xdr:colOff>1890326</xdr:colOff>
      <xdr:row>162</xdr:row>
      <xdr:rowOff>1927860</xdr:rowOff>
    </xdr:to>
    <xdr:pic>
      <xdr:nvPicPr>
        <xdr:cNvPr id="345" name="Рисунок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445258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163</xdr:row>
      <xdr:rowOff>22855</xdr:rowOff>
    </xdr:from>
    <xdr:to>
      <xdr:col>1</xdr:col>
      <xdr:colOff>1890326</xdr:colOff>
      <xdr:row>163</xdr:row>
      <xdr:rowOff>1927855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464765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164</xdr:row>
      <xdr:rowOff>22850</xdr:rowOff>
    </xdr:from>
    <xdr:to>
      <xdr:col>1</xdr:col>
      <xdr:colOff>1890326</xdr:colOff>
      <xdr:row>164</xdr:row>
      <xdr:rowOff>1927850</xdr:rowOff>
    </xdr:to>
    <xdr:pic>
      <xdr:nvPicPr>
        <xdr:cNvPr id="347" name="Рисунок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484272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165</xdr:row>
      <xdr:rowOff>22870</xdr:rowOff>
    </xdr:from>
    <xdr:to>
      <xdr:col>1</xdr:col>
      <xdr:colOff>1890326</xdr:colOff>
      <xdr:row>165</xdr:row>
      <xdr:rowOff>1927870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503779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166</xdr:row>
      <xdr:rowOff>22865</xdr:rowOff>
    </xdr:from>
    <xdr:to>
      <xdr:col>1</xdr:col>
      <xdr:colOff>1890326</xdr:colOff>
      <xdr:row>166</xdr:row>
      <xdr:rowOff>1927865</xdr:rowOff>
    </xdr:to>
    <xdr:pic>
      <xdr:nvPicPr>
        <xdr:cNvPr id="349" name="Рисунок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523286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167</xdr:row>
      <xdr:rowOff>22860</xdr:rowOff>
    </xdr:from>
    <xdr:to>
      <xdr:col>1</xdr:col>
      <xdr:colOff>1890326</xdr:colOff>
      <xdr:row>167</xdr:row>
      <xdr:rowOff>1927860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542794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168</xdr:row>
      <xdr:rowOff>22855</xdr:rowOff>
    </xdr:from>
    <xdr:to>
      <xdr:col>1</xdr:col>
      <xdr:colOff>1890326</xdr:colOff>
      <xdr:row>168</xdr:row>
      <xdr:rowOff>1927855</xdr:rowOff>
    </xdr:to>
    <xdr:pic>
      <xdr:nvPicPr>
        <xdr:cNvPr id="351" name="Рисунок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562301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169</xdr:row>
      <xdr:rowOff>22850</xdr:rowOff>
    </xdr:from>
    <xdr:to>
      <xdr:col>1</xdr:col>
      <xdr:colOff>1890326</xdr:colOff>
      <xdr:row>169</xdr:row>
      <xdr:rowOff>1927850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581808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170</xdr:row>
      <xdr:rowOff>22870</xdr:rowOff>
    </xdr:from>
    <xdr:to>
      <xdr:col>1</xdr:col>
      <xdr:colOff>1890326</xdr:colOff>
      <xdr:row>170</xdr:row>
      <xdr:rowOff>1927870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601315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171</xdr:row>
      <xdr:rowOff>22865</xdr:rowOff>
    </xdr:from>
    <xdr:to>
      <xdr:col>1</xdr:col>
      <xdr:colOff>1890326</xdr:colOff>
      <xdr:row>171</xdr:row>
      <xdr:rowOff>1927865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620822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173</xdr:row>
      <xdr:rowOff>22870</xdr:rowOff>
    </xdr:from>
    <xdr:to>
      <xdr:col>1</xdr:col>
      <xdr:colOff>1890326</xdr:colOff>
      <xdr:row>173</xdr:row>
      <xdr:rowOff>1927870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643606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174</xdr:row>
      <xdr:rowOff>22865</xdr:rowOff>
    </xdr:from>
    <xdr:to>
      <xdr:col>1</xdr:col>
      <xdr:colOff>1890326</xdr:colOff>
      <xdr:row>174</xdr:row>
      <xdr:rowOff>1927865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663113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175</xdr:row>
      <xdr:rowOff>22860</xdr:rowOff>
    </xdr:from>
    <xdr:to>
      <xdr:col>1</xdr:col>
      <xdr:colOff>1890326</xdr:colOff>
      <xdr:row>175</xdr:row>
      <xdr:rowOff>1927860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682621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176</xdr:row>
      <xdr:rowOff>22855</xdr:rowOff>
    </xdr:from>
    <xdr:to>
      <xdr:col>1</xdr:col>
      <xdr:colOff>1890326</xdr:colOff>
      <xdr:row>176</xdr:row>
      <xdr:rowOff>1927855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702128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177</xdr:row>
      <xdr:rowOff>22850</xdr:rowOff>
    </xdr:from>
    <xdr:to>
      <xdr:col>1</xdr:col>
      <xdr:colOff>1890326</xdr:colOff>
      <xdr:row>177</xdr:row>
      <xdr:rowOff>1927850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721635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178</xdr:row>
      <xdr:rowOff>22870</xdr:rowOff>
    </xdr:from>
    <xdr:to>
      <xdr:col>1</xdr:col>
      <xdr:colOff>1890326</xdr:colOff>
      <xdr:row>178</xdr:row>
      <xdr:rowOff>1927870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741142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179</xdr:row>
      <xdr:rowOff>22865</xdr:rowOff>
    </xdr:from>
    <xdr:to>
      <xdr:col>1</xdr:col>
      <xdr:colOff>1890326</xdr:colOff>
      <xdr:row>179</xdr:row>
      <xdr:rowOff>1927865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760649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180</xdr:row>
      <xdr:rowOff>22860</xdr:rowOff>
    </xdr:from>
    <xdr:to>
      <xdr:col>1</xdr:col>
      <xdr:colOff>1890326</xdr:colOff>
      <xdr:row>180</xdr:row>
      <xdr:rowOff>1927860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780157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181</xdr:row>
      <xdr:rowOff>22855</xdr:rowOff>
    </xdr:from>
    <xdr:to>
      <xdr:col>1</xdr:col>
      <xdr:colOff>1890326</xdr:colOff>
      <xdr:row>181</xdr:row>
      <xdr:rowOff>1927855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799664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182</xdr:row>
      <xdr:rowOff>22850</xdr:rowOff>
    </xdr:from>
    <xdr:to>
      <xdr:col>1</xdr:col>
      <xdr:colOff>1890326</xdr:colOff>
      <xdr:row>182</xdr:row>
      <xdr:rowOff>1927850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819171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183</xdr:row>
      <xdr:rowOff>22870</xdr:rowOff>
    </xdr:from>
    <xdr:to>
      <xdr:col>1</xdr:col>
      <xdr:colOff>1890326</xdr:colOff>
      <xdr:row>183</xdr:row>
      <xdr:rowOff>1927870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838678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185</xdr:row>
      <xdr:rowOff>22865</xdr:rowOff>
    </xdr:from>
    <xdr:to>
      <xdr:col>1</xdr:col>
      <xdr:colOff>1890326</xdr:colOff>
      <xdr:row>185</xdr:row>
      <xdr:rowOff>1927865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858185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186</xdr:row>
      <xdr:rowOff>22860</xdr:rowOff>
    </xdr:from>
    <xdr:to>
      <xdr:col>1</xdr:col>
      <xdr:colOff>1890326</xdr:colOff>
      <xdr:row>186</xdr:row>
      <xdr:rowOff>1927860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877693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187</xdr:row>
      <xdr:rowOff>22855</xdr:rowOff>
    </xdr:from>
    <xdr:to>
      <xdr:col>1</xdr:col>
      <xdr:colOff>1890326</xdr:colOff>
      <xdr:row>187</xdr:row>
      <xdr:rowOff>1927855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897200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188</xdr:row>
      <xdr:rowOff>22850</xdr:rowOff>
    </xdr:from>
    <xdr:to>
      <xdr:col>1</xdr:col>
      <xdr:colOff>1890326</xdr:colOff>
      <xdr:row>188</xdr:row>
      <xdr:rowOff>1927850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916707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189</xdr:row>
      <xdr:rowOff>22870</xdr:rowOff>
    </xdr:from>
    <xdr:to>
      <xdr:col>1</xdr:col>
      <xdr:colOff>1890326</xdr:colOff>
      <xdr:row>189</xdr:row>
      <xdr:rowOff>1927870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936214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190</xdr:row>
      <xdr:rowOff>22865</xdr:rowOff>
    </xdr:from>
    <xdr:to>
      <xdr:col>1</xdr:col>
      <xdr:colOff>1890326</xdr:colOff>
      <xdr:row>190</xdr:row>
      <xdr:rowOff>1927865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955721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193</xdr:row>
      <xdr:rowOff>22860</xdr:rowOff>
    </xdr:from>
    <xdr:to>
      <xdr:col>1</xdr:col>
      <xdr:colOff>1890326</xdr:colOff>
      <xdr:row>193</xdr:row>
      <xdr:rowOff>1927860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975229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194</xdr:row>
      <xdr:rowOff>22855</xdr:rowOff>
    </xdr:from>
    <xdr:to>
      <xdr:col>1</xdr:col>
      <xdr:colOff>1890326</xdr:colOff>
      <xdr:row>194</xdr:row>
      <xdr:rowOff>1927855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2994736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195</xdr:row>
      <xdr:rowOff>22850</xdr:rowOff>
    </xdr:from>
    <xdr:to>
      <xdr:col>1</xdr:col>
      <xdr:colOff>1890326</xdr:colOff>
      <xdr:row>195</xdr:row>
      <xdr:rowOff>1927850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014243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196</xdr:row>
      <xdr:rowOff>22870</xdr:rowOff>
    </xdr:from>
    <xdr:to>
      <xdr:col>1</xdr:col>
      <xdr:colOff>1890326</xdr:colOff>
      <xdr:row>196</xdr:row>
      <xdr:rowOff>1927870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033750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197</xdr:row>
      <xdr:rowOff>22865</xdr:rowOff>
    </xdr:from>
    <xdr:to>
      <xdr:col>1</xdr:col>
      <xdr:colOff>1890326</xdr:colOff>
      <xdr:row>197</xdr:row>
      <xdr:rowOff>1927865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053257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198</xdr:row>
      <xdr:rowOff>22860</xdr:rowOff>
    </xdr:from>
    <xdr:to>
      <xdr:col>1</xdr:col>
      <xdr:colOff>1890326</xdr:colOff>
      <xdr:row>198</xdr:row>
      <xdr:rowOff>1927860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072765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199</xdr:row>
      <xdr:rowOff>22855</xdr:rowOff>
    </xdr:from>
    <xdr:to>
      <xdr:col>1</xdr:col>
      <xdr:colOff>1890326</xdr:colOff>
      <xdr:row>199</xdr:row>
      <xdr:rowOff>1927855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092272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202</xdr:row>
      <xdr:rowOff>22850</xdr:rowOff>
    </xdr:from>
    <xdr:to>
      <xdr:col>1</xdr:col>
      <xdr:colOff>1890326</xdr:colOff>
      <xdr:row>202</xdr:row>
      <xdr:rowOff>1927850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111779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205</xdr:row>
      <xdr:rowOff>22870</xdr:rowOff>
    </xdr:from>
    <xdr:to>
      <xdr:col>1</xdr:col>
      <xdr:colOff>1890326</xdr:colOff>
      <xdr:row>205</xdr:row>
      <xdr:rowOff>1927870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131286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208</xdr:row>
      <xdr:rowOff>22865</xdr:rowOff>
    </xdr:from>
    <xdr:to>
      <xdr:col>1</xdr:col>
      <xdr:colOff>1890326</xdr:colOff>
      <xdr:row>208</xdr:row>
      <xdr:rowOff>1927865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150793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211</xdr:row>
      <xdr:rowOff>22860</xdr:rowOff>
    </xdr:from>
    <xdr:to>
      <xdr:col>1</xdr:col>
      <xdr:colOff>1890326</xdr:colOff>
      <xdr:row>211</xdr:row>
      <xdr:rowOff>1927860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170301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214</xdr:row>
      <xdr:rowOff>22855</xdr:rowOff>
    </xdr:from>
    <xdr:to>
      <xdr:col>1</xdr:col>
      <xdr:colOff>1890326</xdr:colOff>
      <xdr:row>214</xdr:row>
      <xdr:rowOff>1927855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189808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215</xdr:row>
      <xdr:rowOff>22850</xdr:rowOff>
    </xdr:from>
    <xdr:to>
      <xdr:col>1</xdr:col>
      <xdr:colOff>1890326</xdr:colOff>
      <xdr:row>215</xdr:row>
      <xdr:rowOff>1927850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209315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216</xdr:row>
      <xdr:rowOff>22870</xdr:rowOff>
    </xdr:from>
    <xdr:to>
      <xdr:col>1</xdr:col>
      <xdr:colOff>1890326</xdr:colOff>
      <xdr:row>216</xdr:row>
      <xdr:rowOff>1927870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2288227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217</xdr:row>
      <xdr:rowOff>22865</xdr:rowOff>
    </xdr:from>
    <xdr:to>
      <xdr:col>1</xdr:col>
      <xdr:colOff>1890326</xdr:colOff>
      <xdr:row>217</xdr:row>
      <xdr:rowOff>1927865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2483298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218</xdr:row>
      <xdr:rowOff>22860</xdr:rowOff>
    </xdr:from>
    <xdr:to>
      <xdr:col>1</xdr:col>
      <xdr:colOff>1890326</xdr:colOff>
      <xdr:row>218</xdr:row>
      <xdr:rowOff>1927860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2678370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219</xdr:row>
      <xdr:rowOff>22855</xdr:rowOff>
    </xdr:from>
    <xdr:to>
      <xdr:col>1</xdr:col>
      <xdr:colOff>1890326</xdr:colOff>
      <xdr:row>219</xdr:row>
      <xdr:rowOff>1927855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287344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220</xdr:row>
      <xdr:rowOff>22850</xdr:rowOff>
    </xdr:from>
    <xdr:to>
      <xdr:col>1</xdr:col>
      <xdr:colOff>1890326</xdr:colOff>
      <xdr:row>220</xdr:row>
      <xdr:rowOff>1927850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30685130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221</xdr:row>
      <xdr:rowOff>22855</xdr:rowOff>
    </xdr:from>
    <xdr:to>
      <xdr:col>1</xdr:col>
      <xdr:colOff>1890326</xdr:colOff>
      <xdr:row>221</xdr:row>
      <xdr:rowOff>1927855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32963515"/>
          <a:ext cx="1905000" cy="1905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222</xdr:row>
      <xdr:rowOff>22850</xdr:rowOff>
    </xdr:from>
    <xdr:to>
      <xdr:col>1</xdr:col>
      <xdr:colOff>1890326</xdr:colOff>
      <xdr:row>222</xdr:row>
      <xdr:rowOff>1927850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40" y="334914230"/>
          <a:ext cx="1905000" cy="1905000"/>
        </a:xfrm>
        <a:prstGeom prst="rect">
          <a:avLst/>
        </a:prstGeom>
      </xdr:spPr>
    </xdr:pic>
    <xdr:clientData/>
  </xdr:twoCellAnchor>
  <xdr:oneCellAnchor>
    <xdr:from>
      <xdr:col>1</xdr:col>
      <xdr:colOff>25400</xdr:colOff>
      <xdr:row>67</xdr:row>
      <xdr:rowOff>22859</xdr:rowOff>
    </xdr:from>
    <xdr:ext cx="1866819" cy="1905000"/>
    <xdr:pic>
      <xdr:nvPicPr>
        <xdr:cNvPr id="3" name="Рисунок 2">
          <a:extLst>
            <a:ext uri="{FF2B5EF4-FFF2-40B4-BE49-F238E27FC236}">
              <a16:creationId xmlns:a16="http://schemas.microsoft.com/office/drawing/2014/main" id="{AA89186F-2ECA-4941-8E9C-EA8AFC4BAB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89042388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66</xdr:row>
      <xdr:rowOff>22859</xdr:rowOff>
    </xdr:from>
    <xdr:ext cx="1866819" cy="1905000"/>
    <xdr:pic>
      <xdr:nvPicPr>
        <xdr:cNvPr id="5" name="Рисунок 4">
          <a:extLst>
            <a:ext uri="{FF2B5EF4-FFF2-40B4-BE49-F238E27FC236}">
              <a16:creationId xmlns:a16="http://schemas.microsoft.com/office/drawing/2014/main" id="{46D6B475-18AC-4EA3-BB0D-BE6139EE3E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89042388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70</xdr:row>
      <xdr:rowOff>22860</xdr:rowOff>
    </xdr:from>
    <xdr:ext cx="1866819" cy="1905000"/>
    <xdr:pic>
      <xdr:nvPicPr>
        <xdr:cNvPr id="7" name="Рисунок 6">
          <a:extLst>
            <a:ext uri="{FF2B5EF4-FFF2-40B4-BE49-F238E27FC236}">
              <a16:creationId xmlns:a16="http://schemas.microsoft.com/office/drawing/2014/main" id="{2E868C62-5997-4254-A22E-B80444541B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9489186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69</xdr:row>
      <xdr:rowOff>22860</xdr:rowOff>
    </xdr:from>
    <xdr:ext cx="1866819" cy="1905000"/>
    <xdr:pic>
      <xdr:nvPicPr>
        <xdr:cNvPr id="9" name="Рисунок 8">
          <a:extLst>
            <a:ext uri="{FF2B5EF4-FFF2-40B4-BE49-F238E27FC236}">
              <a16:creationId xmlns:a16="http://schemas.microsoft.com/office/drawing/2014/main" id="{6326D77F-D1A4-439B-811B-AF0A2922B2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9489186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62</xdr:row>
      <xdr:rowOff>22861</xdr:rowOff>
    </xdr:from>
    <xdr:ext cx="1866819" cy="1905000"/>
    <xdr:pic>
      <xdr:nvPicPr>
        <xdr:cNvPr id="11" name="Рисунок 10">
          <a:extLst>
            <a:ext uri="{FF2B5EF4-FFF2-40B4-BE49-F238E27FC236}">
              <a16:creationId xmlns:a16="http://schemas.microsoft.com/office/drawing/2014/main" id="{8639B891-87D7-4096-9EE6-92C6E0E1B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8319292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62</xdr:row>
      <xdr:rowOff>0</xdr:rowOff>
    </xdr:from>
    <xdr:ext cx="1866819" cy="1905000"/>
    <xdr:pic>
      <xdr:nvPicPr>
        <xdr:cNvPr id="13" name="Рисунок 12">
          <a:extLst>
            <a:ext uri="{FF2B5EF4-FFF2-40B4-BE49-F238E27FC236}">
              <a16:creationId xmlns:a16="http://schemas.microsoft.com/office/drawing/2014/main" id="{1E148140-2343-4A58-9BB9-BD4086047D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8319292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72</xdr:row>
      <xdr:rowOff>22861</xdr:rowOff>
    </xdr:from>
    <xdr:ext cx="1866819" cy="1905000"/>
    <xdr:pic>
      <xdr:nvPicPr>
        <xdr:cNvPr id="15" name="Рисунок 14">
          <a:extLst>
            <a:ext uri="{FF2B5EF4-FFF2-40B4-BE49-F238E27FC236}">
              <a16:creationId xmlns:a16="http://schemas.microsoft.com/office/drawing/2014/main" id="{D5724263-EB17-4411-8ACD-EA2DAA012F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046409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73</xdr:row>
      <xdr:rowOff>22861</xdr:rowOff>
    </xdr:from>
    <xdr:ext cx="1866819" cy="1905000"/>
    <xdr:pic>
      <xdr:nvPicPr>
        <xdr:cNvPr id="17" name="Рисунок 16">
          <a:extLst>
            <a:ext uri="{FF2B5EF4-FFF2-40B4-BE49-F238E27FC236}">
              <a16:creationId xmlns:a16="http://schemas.microsoft.com/office/drawing/2014/main" id="{65880C96-7EA7-4C76-A04C-B768E597D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046409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77</xdr:row>
      <xdr:rowOff>22858</xdr:rowOff>
    </xdr:from>
    <xdr:ext cx="1866819" cy="1905000"/>
    <xdr:pic>
      <xdr:nvPicPr>
        <xdr:cNvPr id="19" name="Рисунок 18">
          <a:extLst>
            <a:ext uri="{FF2B5EF4-FFF2-40B4-BE49-F238E27FC236}">
              <a16:creationId xmlns:a16="http://schemas.microsoft.com/office/drawing/2014/main" id="{9273EBAB-4B97-4C31-A69F-42E345379F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1244027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76</xdr:row>
      <xdr:rowOff>22858</xdr:rowOff>
    </xdr:from>
    <xdr:ext cx="1866819" cy="1905000"/>
    <xdr:pic>
      <xdr:nvPicPr>
        <xdr:cNvPr id="21" name="Рисунок 20">
          <a:extLst>
            <a:ext uri="{FF2B5EF4-FFF2-40B4-BE49-F238E27FC236}">
              <a16:creationId xmlns:a16="http://schemas.microsoft.com/office/drawing/2014/main" id="{FEB5BD3E-3B6B-4021-9BB1-447BF1320E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1244027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80</xdr:row>
      <xdr:rowOff>22859</xdr:rowOff>
    </xdr:from>
    <xdr:ext cx="1866819" cy="1905000"/>
    <xdr:pic>
      <xdr:nvPicPr>
        <xdr:cNvPr id="23" name="Рисунок 22">
          <a:extLst>
            <a:ext uri="{FF2B5EF4-FFF2-40B4-BE49-F238E27FC236}">
              <a16:creationId xmlns:a16="http://schemas.microsoft.com/office/drawing/2014/main" id="{434B4ADE-051B-486A-BD69-882B387F3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18289741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79</xdr:row>
      <xdr:rowOff>22859</xdr:rowOff>
    </xdr:from>
    <xdr:ext cx="1866819" cy="1905000"/>
    <xdr:pic>
      <xdr:nvPicPr>
        <xdr:cNvPr id="25" name="Рисунок 24">
          <a:extLst>
            <a:ext uri="{FF2B5EF4-FFF2-40B4-BE49-F238E27FC236}">
              <a16:creationId xmlns:a16="http://schemas.microsoft.com/office/drawing/2014/main" id="{65C28F2F-6620-4C1C-8864-790F3AAF06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18289741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60</xdr:row>
      <xdr:rowOff>22860</xdr:rowOff>
    </xdr:from>
    <xdr:ext cx="1866819" cy="1905000"/>
    <xdr:pic>
      <xdr:nvPicPr>
        <xdr:cNvPr id="27" name="Рисунок 26">
          <a:extLst>
            <a:ext uri="{FF2B5EF4-FFF2-40B4-BE49-F238E27FC236}">
              <a16:creationId xmlns:a16="http://schemas.microsoft.com/office/drawing/2014/main" id="{13110D31-57DE-4414-AB0F-534447BBA6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81243095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59</xdr:row>
      <xdr:rowOff>22860</xdr:rowOff>
    </xdr:from>
    <xdr:ext cx="1866819" cy="1905000"/>
    <xdr:pic>
      <xdr:nvPicPr>
        <xdr:cNvPr id="29" name="Рисунок 28">
          <a:extLst>
            <a:ext uri="{FF2B5EF4-FFF2-40B4-BE49-F238E27FC236}">
              <a16:creationId xmlns:a16="http://schemas.microsoft.com/office/drawing/2014/main" id="{C320E6C2-167D-4B55-9DF3-4903A46476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81243095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91</xdr:row>
      <xdr:rowOff>22865</xdr:rowOff>
    </xdr:from>
    <xdr:ext cx="1866819" cy="1905000"/>
    <xdr:pic>
      <xdr:nvPicPr>
        <xdr:cNvPr id="31" name="Рисунок 30">
          <a:extLst>
            <a:ext uri="{FF2B5EF4-FFF2-40B4-BE49-F238E27FC236}">
              <a16:creationId xmlns:a16="http://schemas.microsoft.com/office/drawing/2014/main" id="{8220AB83-25E3-46F3-837A-1EF1204F1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43290071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51</xdr:row>
      <xdr:rowOff>22861</xdr:rowOff>
    </xdr:from>
    <xdr:ext cx="1866819" cy="1905000"/>
    <xdr:pic>
      <xdr:nvPicPr>
        <xdr:cNvPr id="33" name="Рисунок 32">
          <a:extLst>
            <a:ext uri="{FF2B5EF4-FFF2-40B4-BE49-F238E27FC236}">
              <a16:creationId xmlns:a16="http://schemas.microsoft.com/office/drawing/2014/main" id="{69048402-54B9-4DB9-8966-2C2880763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714939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50</xdr:row>
      <xdr:rowOff>22861</xdr:rowOff>
    </xdr:from>
    <xdr:ext cx="1866819" cy="1905000"/>
    <xdr:pic>
      <xdr:nvPicPr>
        <xdr:cNvPr id="35" name="Рисунок 34">
          <a:extLst>
            <a:ext uri="{FF2B5EF4-FFF2-40B4-BE49-F238E27FC236}">
              <a16:creationId xmlns:a16="http://schemas.microsoft.com/office/drawing/2014/main" id="{FCC6BA04-306F-4225-89E0-75FFC840C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714939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54</xdr:row>
      <xdr:rowOff>22862</xdr:rowOff>
    </xdr:from>
    <xdr:ext cx="1866819" cy="1905000"/>
    <xdr:pic>
      <xdr:nvPicPr>
        <xdr:cNvPr id="37" name="Рисунок 36">
          <a:extLst>
            <a:ext uri="{FF2B5EF4-FFF2-40B4-BE49-F238E27FC236}">
              <a16:creationId xmlns:a16="http://schemas.microsoft.com/office/drawing/2014/main" id="{F1874D3D-AE99-47E7-9BE6-9C297B3EC9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79293274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53</xdr:row>
      <xdr:rowOff>22862</xdr:rowOff>
    </xdr:from>
    <xdr:ext cx="1866819" cy="1905000"/>
    <xdr:pic>
      <xdr:nvPicPr>
        <xdr:cNvPr id="39" name="Рисунок 38">
          <a:extLst>
            <a:ext uri="{FF2B5EF4-FFF2-40B4-BE49-F238E27FC236}">
              <a16:creationId xmlns:a16="http://schemas.microsoft.com/office/drawing/2014/main" id="{5277400D-500F-4F98-86FC-554D3610E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79293274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92</xdr:row>
      <xdr:rowOff>22865</xdr:rowOff>
    </xdr:from>
    <xdr:ext cx="1866819" cy="1905000"/>
    <xdr:pic>
      <xdr:nvPicPr>
        <xdr:cNvPr id="41" name="Рисунок 40">
          <a:extLst>
            <a:ext uri="{FF2B5EF4-FFF2-40B4-BE49-F238E27FC236}">
              <a16:creationId xmlns:a16="http://schemas.microsoft.com/office/drawing/2014/main" id="{6AFA1290-CEED-4180-87BD-70FB810EEE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5303918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27</xdr:row>
      <xdr:rowOff>22859</xdr:rowOff>
    </xdr:from>
    <xdr:ext cx="1866819" cy="1905000"/>
    <xdr:pic>
      <xdr:nvPicPr>
        <xdr:cNvPr id="43" name="Рисунок 42">
          <a:extLst>
            <a:ext uri="{FF2B5EF4-FFF2-40B4-BE49-F238E27FC236}">
              <a16:creationId xmlns:a16="http://schemas.microsoft.com/office/drawing/2014/main" id="{97229540-C238-4E41-A019-CE4BC5A4F4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40005447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26</xdr:row>
      <xdr:rowOff>22859</xdr:rowOff>
    </xdr:from>
    <xdr:ext cx="1866819" cy="1905000"/>
    <xdr:pic>
      <xdr:nvPicPr>
        <xdr:cNvPr id="45" name="Рисунок 44">
          <a:extLst>
            <a:ext uri="{FF2B5EF4-FFF2-40B4-BE49-F238E27FC236}">
              <a16:creationId xmlns:a16="http://schemas.microsoft.com/office/drawing/2014/main" id="{5658DBB5-59AA-4116-AC53-87C02D5B2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40005447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30</xdr:row>
      <xdr:rowOff>22861</xdr:rowOff>
    </xdr:from>
    <xdr:ext cx="1866819" cy="1905000"/>
    <xdr:pic>
      <xdr:nvPicPr>
        <xdr:cNvPr id="47" name="Рисунок 46">
          <a:extLst>
            <a:ext uri="{FF2B5EF4-FFF2-40B4-BE49-F238E27FC236}">
              <a16:creationId xmlns:a16="http://schemas.microsoft.com/office/drawing/2014/main" id="{2051FEE7-95EF-47A1-BB9F-4239ED22F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47804743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29</xdr:row>
      <xdr:rowOff>22861</xdr:rowOff>
    </xdr:from>
    <xdr:ext cx="1866819" cy="1905000"/>
    <xdr:pic>
      <xdr:nvPicPr>
        <xdr:cNvPr id="49" name="Рисунок 48">
          <a:extLst>
            <a:ext uri="{FF2B5EF4-FFF2-40B4-BE49-F238E27FC236}">
              <a16:creationId xmlns:a16="http://schemas.microsoft.com/office/drawing/2014/main" id="{2DE277E4-E09B-4ED2-B335-28EB5ABBA9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47804743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21</xdr:row>
      <xdr:rowOff>22861</xdr:rowOff>
    </xdr:from>
    <xdr:ext cx="1866819" cy="1905000"/>
    <xdr:pic>
      <xdr:nvPicPr>
        <xdr:cNvPr id="51" name="Рисунок 50">
          <a:extLst>
            <a:ext uri="{FF2B5EF4-FFF2-40B4-BE49-F238E27FC236}">
              <a16:creationId xmlns:a16="http://schemas.microsoft.com/office/drawing/2014/main" id="{B78C5DED-2E04-4FD0-B53E-2DAAF34F5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41559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</xdr:row>
      <xdr:rowOff>22861</xdr:rowOff>
    </xdr:from>
    <xdr:ext cx="1866819" cy="1905000"/>
    <xdr:pic>
      <xdr:nvPicPr>
        <xdr:cNvPr id="53" name="Рисунок 52">
          <a:extLst>
            <a:ext uri="{FF2B5EF4-FFF2-40B4-BE49-F238E27FC236}">
              <a16:creationId xmlns:a16="http://schemas.microsoft.com/office/drawing/2014/main" id="{75D24F25-1A96-4570-846F-4E1998B83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41559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35</xdr:row>
      <xdr:rowOff>22861</xdr:rowOff>
    </xdr:from>
    <xdr:ext cx="1866819" cy="1905000"/>
    <xdr:pic>
      <xdr:nvPicPr>
        <xdr:cNvPr id="55" name="Рисунок 54">
          <a:extLst>
            <a:ext uri="{FF2B5EF4-FFF2-40B4-BE49-F238E27FC236}">
              <a16:creationId xmlns:a16="http://schemas.microsoft.com/office/drawing/2014/main" id="{8EC7F273-2F30-4A4C-AC1A-A80172893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61453508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34</xdr:row>
      <xdr:rowOff>22861</xdr:rowOff>
    </xdr:from>
    <xdr:ext cx="1866819" cy="1905000"/>
    <xdr:pic>
      <xdr:nvPicPr>
        <xdr:cNvPr id="57" name="Рисунок 56">
          <a:extLst>
            <a:ext uri="{FF2B5EF4-FFF2-40B4-BE49-F238E27FC236}">
              <a16:creationId xmlns:a16="http://schemas.microsoft.com/office/drawing/2014/main" id="{B259CFA2-53CF-447B-9DAA-43F7896621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61453508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18</xdr:row>
      <xdr:rowOff>22859</xdr:rowOff>
    </xdr:from>
    <xdr:ext cx="1866819" cy="1905000"/>
    <xdr:pic>
      <xdr:nvPicPr>
        <xdr:cNvPr id="59" name="Рисунок 58">
          <a:extLst>
            <a:ext uri="{FF2B5EF4-FFF2-40B4-BE49-F238E27FC236}">
              <a16:creationId xmlns:a16="http://schemas.microsoft.com/office/drawing/2014/main" id="{04ED688A-B303-4D2E-9FC0-D689C49ACC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2206153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17</xdr:row>
      <xdr:rowOff>22859</xdr:rowOff>
    </xdr:from>
    <xdr:ext cx="1866819" cy="1905000"/>
    <xdr:pic>
      <xdr:nvPicPr>
        <xdr:cNvPr id="61" name="Рисунок 60">
          <a:extLst>
            <a:ext uri="{FF2B5EF4-FFF2-40B4-BE49-F238E27FC236}">
              <a16:creationId xmlns:a16="http://schemas.microsoft.com/office/drawing/2014/main" id="{A3EDFC7B-8C35-4156-8368-3C6EFA89A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2206153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210</xdr:row>
      <xdr:rowOff>22860</xdr:rowOff>
    </xdr:from>
    <xdr:ext cx="1866819" cy="1905000"/>
    <xdr:pic>
      <xdr:nvPicPr>
        <xdr:cNvPr id="63" name="Рисунок 62">
          <a:extLst>
            <a:ext uri="{FF2B5EF4-FFF2-40B4-BE49-F238E27FC236}">
              <a16:creationId xmlns:a16="http://schemas.microsoft.com/office/drawing/2014/main" id="{4F156F24-AB41-440D-B3D0-E15CC74AE0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645086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209</xdr:row>
      <xdr:rowOff>22860</xdr:rowOff>
    </xdr:from>
    <xdr:ext cx="1866819" cy="1905000"/>
    <xdr:pic>
      <xdr:nvPicPr>
        <xdr:cNvPr id="65" name="Рисунок 64">
          <a:extLst>
            <a:ext uri="{FF2B5EF4-FFF2-40B4-BE49-F238E27FC236}">
              <a16:creationId xmlns:a16="http://schemas.microsoft.com/office/drawing/2014/main" id="{5FB945EB-CB00-4EF9-8E24-1BB1FFEB9A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6450860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213</xdr:row>
      <xdr:rowOff>22855</xdr:rowOff>
    </xdr:from>
    <xdr:ext cx="1866819" cy="1905000"/>
    <xdr:pic>
      <xdr:nvPicPr>
        <xdr:cNvPr id="67" name="Рисунок 66">
          <a:extLst>
            <a:ext uri="{FF2B5EF4-FFF2-40B4-BE49-F238E27FC236}">
              <a16:creationId xmlns:a16="http://schemas.microsoft.com/office/drawing/2014/main" id="{E47B53BF-B99B-49AC-BA99-DBEFD958F9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82300326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212</xdr:row>
      <xdr:rowOff>22855</xdr:rowOff>
    </xdr:from>
    <xdr:ext cx="1866819" cy="1905000"/>
    <xdr:pic>
      <xdr:nvPicPr>
        <xdr:cNvPr id="69" name="Рисунок 68">
          <a:extLst>
            <a:ext uri="{FF2B5EF4-FFF2-40B4-BE49-F238E27FC236}">
              <a16:creationId xmlns:a16="http://schemas.microsoft.com/office/drawing/2014/main" id="{051E296A-93E7-448A-BA4E-55BB010D7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82300326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207</xdr:row>
      <xdr:rowOff>22865</xdr:rowOff>
    </xdr:from>
    <xdr:ext cx="1866819" cy="1905000"/>
    <xdr:pic>
      <xdr:nvPicPr>
        <xdr:cNvPr id="71" name="Рисунок 70">
          <a:extLst>
            <a:ext uri="{FF2B5EF4-FFF2-40B4-BE49-F238E27FC236}">
              <a16:creationId xmlns:a16="http://schemas.microsoft.com/office/drawing/2014/main" id="{7A4416AD-4888-43AF-A8C9-A83502C725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4501041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206</xdr:row>
      <xdr:rowOff>22865</xdr:rowOff>
    </xdr:from>
    <xdr:ext cx="1866819" cy="1905000"/>
    <xdr:pic>
      <xdr:nvPicPr>
        <xdr:cNvPr id="73" name="Рисунок 72">
          <a:extLst>
            <a:ext uri="{FF2B5EF4-FFF2-40B4-BE49-F238E27FC236}">
              <a16:creationId xmlns:a16="http://schemas.microsoft.com/office/drawing/2014/main" id="{D471DB47-CDF1-4BEA-A2BF-AB10FBBE3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4501041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204</xdr:row>
      <xdr:rowOff>22870</xdr:rowOff>
    </xdr:from>
    <xdr:ext cx="1866819" cy="1905000"/>
    <xdr:pic>
      <xdr:nvPicPr>
        <xdr:cNvPr id="75" name="Рисунок 74">
          <a:extLst>
            <a:ext uri="{FF2B5EF4-FFF2-40B4-BE49-F238E27FC236}">
              <a16:creationId xmlns:a16="http://schemas.microsoft.com/office/drawing/2014/main" id="{CC8E9A44-479A-4E1E-BD1E-E0416C3D9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2551223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203</xdr:row>
      <xdr:rowOff>22870</xdr:rowOff>
    </xdr:from>
    <xdr:ext cx="1866819" cy="1905000"/>
    <xdr:pic>
      <xdr:nvPicPr>
        <xdr:cNvPr id="77" name="Рисунок 76">
          <a:extLst>
            <a:ext uri="{FF2B5EF4-FFF2-40B4-BE49-F238E27FC236}">
              <a16:creationId xmlns:a16="http://schemas.microsoft.com/office/drawing/2014/main" id="{77D9621F-619A-4C06-8F70-FA89D4CB9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2551223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201</xdr:row>
      <xdr:rowOff>22850</xdr:rowOff>
    </xdr:from>
    <xdr:ext cx="1866819" cy="1905000"/>
    <xdr:pic>
      <xdr:nvPicPr>
        <xdr:cNvPr id="79" name="Рисунок 78">
          <a:extLst>
            <a:ext uri="{FF2B5EF4-FFF2-40B4-BE49-F238E27FC236}">
              <a16:creationId xmlns:a16="http://schemas.microsoft.com/office/drawing/2014/main" id="{D561CDBE-1340-4C16-A4CB-BDD94ED9C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06013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200</xdr:row>
      <xdr:rowOff>22850</xdr:rowOff>
    </xdr:from>
    <xdr:ext cx="1866819" cy="1905000"/>
    <xdr:pic>
      <xdr:nvPicPr>
        <xdr:cNvPr id="81" name="Рисунок 80">
          <a:extLst>
            <a:ext uri="{FF2B5EF4-FFF2-40B4-BE49-F238E27FC236}">
              <a16:creationId xmlns:a16="http://schemas.microsoft.com/office/drawing/2014/main" id="{3E25C7AF-6F72-4D01-B6D3-5605622DA9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70601379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192</xdr:row>
      <xdr:rowOff>22860</xdr:rowOff>
    </xdr:from>
    <xdr:ext cx="1866819" cy="1905000"/>
    <xdr:pic>
      <xdr:nvPicPr>
        <xdr:cNvPr id="83" name="Рисунок 82">
          <a:extLst>
            <a:ext uri="{FF2B5EF4-FFF2-40B4-BE49-F238E27FC236}">
              <a16:creationId xmlns:a16="http://schemas.microsoft.com/office/drawing/2014/main" id="{3AFFDDFE-8B62-486B-8E10-4AD04CA0E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56952625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191</xdr:row>
      <xdr:rowOff>22860</xdr:rowOff>
    </xdr:from>
    <xdr:ext cx="1866819" cy="1905000"/>
    <xdr:pic>
      <xdr:nvPicPr>
        <xdr:cNvPr id="85" name="Рисунок 84">
          <a:extLst>
            <a:ext uri="{FF2B5EF4-FFF2-40B4-BE49-F238E27FC236}">
              <a16:creationId xmlns:a16="http://schemas.microsoft.com/office/drawing/2014/main" id="{049C0D8A-1EFC-4FDE-88B7-3EBCF0C031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56952625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184</xdr:row>
      <xdr:rowOff>22865</xdr:rowOff>
    </xdr:from>
    <xdr:ext cx="1866819" cy="1905000"/>
    <xdr:pic>
      <xdr:nvPicPr>
        <xdr:cNvPr id="91" name="Рисунок 90">
          <a:extLst>
            <a:ext uri="{FF2B5EF4-FFF2-40B4-BE49-F238E27FC236}">
              <a16:creationId xmlns:a16="http://schemas.microsoft.com/office/drawing/2014/main" id="{BA3BB68D-612A-4CDB-8283-ACEE329CB2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343303865"/>
          <a:ext cx="1866819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57</xdr:row>
      <xdr:rowOff>22859</xdr:rowOff>
    </xdr:from>
    <xdr:ext cx="1864926" cy="1905000"/>
    <xdr:pic>
      <xdr:nvPicPr>
        <xdr:cNvPr id="87" name="Рисунок 86">
          <a:extLst>
            <a:ext uri="{FF2B5EF4-FFF2-40B4-BE49-F238E27FC236}">
              <a16:creationId xmlns:a16="http://schemas.microsoft.com/office/drawing/2014/main" id="{83E14F63-5653-44AE-ADB6-148A5F525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104528918"/>
          <a:ext cx="1864926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109</xdr:row>
      <xdr:rowOff>22860</xdr:rowOff>
    </xdr:from>
    <xdr:ext cx="1864926" cy="1905000"/>
    <xdr:pic>
      <xdr:nvPicPr>
        <xdr:cNvPr id="89" name="Рисунок 88">
          <a:extLst>
            <a:ext uri="{FF2B5EF4-FFF2-40B4-BE49-F238E27FC236}">
              <a16:creationId xmlns:a16="http://schemas.microsoft.com/office/drawing/2014/main" id="{61A6E7B7-0D7F-41ED-8F58-F9FE909E8A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201885625"/>
          <a:ext cx="1864926" cy="1905000"/>
        </a:xfrm>
        <a:prstGeom prst="rect">
          <a:avLst/>
        </a:prstGeom>
      </xdr:spPr>
    </xdr:pic>
    <xdr:clientData/>
  </xdr:oneCellAnchor>
  <xdr:oneCellAnchor>
    <xdr:from>
      <xdr:col>1</xdr:col>
      <xdr:colOff>25400</xdr:colOff>
      <xdr:row>37</xdr:row>
      <xdr:rowOff>22859</xdr:rowOff>
    </xdr:from>
    <xdr:ext cx="1864926" cy="1905000"/>
    <xdr:pic>
      <xdr:nvPicPr>
        <xdr:cNvPr id="93" name="Рисунок 92">
          <a:extLst>
            <a:ext uri="{FF2B5EF4-FFF2-40B4-BE49-F238E27FC236}">
              <a16:creationId xmlns:a16="http://schemas.microsoft.com/office/drawing/2014/main" id="{EF7761C6-35FD-40B8-90BF-77C2164C2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65" y="69140741"/>
          <a:ext cx="1864926" cy="190500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Костюкевич Тимур Альбертович" id="{8C3E20DF-B2E0-4353-85C0-3E212F2D5563}" userId="S::Kostyukevich.T@edu.rea.ru::71d817b5-34b7-41b7-9a6e-4c194c515434" providerId="AD"/>
</personList>
</file>

<file path=xl/queryTables/queryTable1.xml><?xml version="1.0" encoding="utf-8"?>
<queryTable xmlns="http://schemas.openxmlformats.org/spreadsheetml/2006/main" name="ExternalData_1" refreshOnLoad="1" connectionId="2" autoFormatId="16" applyNumberFormats="0" applyBorderFormats="0" applyFontFormats="0" applyPatternFormats="0" applyAlignmentFormats="0" applyWidthHeightFormats="0">
  <queryTableRefresh nextId="19">
    <queryTableFields count="8">
      <queryTableField id="1" name="Позиция" tableColumnId="1"/>
      <queryTableField id="2" name="Артикул" tableColumnId="2"/>
      <queryTableField id="3" name="Высота" tableColumnId="3"/>
      <queryTableField id="4" name="Ширина" tableColumnId="4"/>
      <queryTableField id="5" name="Глубина" tableColumnId="5"/>
      <queryTableField id="6" name="Кол-во" tableColumnId="6"/>
      <queryTableField id="7" name="Сумма" tableColumnId="7"/>
      <queryTableField id="8" name="Комментарии" tableColumnId="8"/>
    </queryTableFields>
  </queryTableRefresh>
</queryTable>
</file>

<file path=xl/queryTables/queryTable2.xml><?xml version="1.0" encoding="utf-8"?>
<queryTable xmlns="http://schemas.openxmlformats.org/spreadsheetml/2006/main" name="ExternalData_1" refreshOnLoad="1" connectionId="3" autoFormatId="16" applyNumberFormats="0" applyBorderFormats="0" applyFontFormats="0" applyPatternFormats="0" applyAlignmentFormats="0" applyWidthHeightFormats="0">
  <queryTableRefresh nextId="54">
    <queryTableFields count="12">
      <queryTableField id="21" name="Артикул" tableColumnId="14"/>
      <queryTableField id="6" name="Кол-во" tableColumnId="6"/>
      <queryTableField id="52" name="м2" tableColumnId="31"/>
      <queryTableField id="30" name="Д1" tableColumnId="20"/>
      <queryTableField id="48" name="Ш1" tableColumnId="29"/>
      <queryTableField id="32" name="Д2" tableColumnId="22"/>
      <queryTableField id="33" name="Ш2" tableColumnId="23"/>
      <queryTableField id="34" name="Д3" tableColumnId="24"/>
      <queryTableField id="35" name="Ш3" tableColumnId="25"/>
      <queryTableField id="36" name="Д4" tableColumnId="26"/>
      <queryTableField id="37" name="Ш4" tableColumnId="27"/>
      <queryTableField id="51" name="R" tableColumnId="30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id="3" name="ТаблицаКорпус" displayName="ТаблицаКорпус" ref="B2:X223" totalsRowShown="0" headerRowDxfId="75" dataDxfId="74" tableBorderDxfId="73">
  <autoFilter ref="B2:X223"/>
  <tableColumns count="23">
    <tableColumn id="1" name="Изображение" dataDxfId="72"/>
    <tableColumn id="2" name="Позиция" dataDxfId="71"/>
    <tableColumn id="3" name="Артикул" dataDxfId="70"/>
    <tableColumn id="4" name="Высота" dataDxfId="69"/>
    <tableColumn id="5" name="Ширина" dataDxfId="68"/>
    <tableColumn id="6" name="Глубина" dataDxfId="67"/>
    <tableColumn id="13" name="Кол-во полок" dataDxfId="66"/>
    <tableColumn id="7" name="Стоимость" dataDxfId="65"/>
    <tableColumn id="8" name="Кол-во" dataDxfId="64"/>
    <tableColumn id="9" name="Сумма" dataDxfId="63">
      <calculatedColumnFormula>I3*J3</calculatedColumnFormula>
    </tableColumn>
    <tableColumn id="10" name="Примечание" dataDxfId="62"/>
    <tableColumn id="11" name="Адрес фотки" dataDxfId="61"/>
    <tableColumn id="12" name="Комментарии" dataDxfId="60"/>
    <tableColumn id="14" name="Количество фасадов в модуле" dataDxfId="59"/>
    <tableColumn id="15" name="Фасад 1 Высота" dataDxfId="58"/>
    <tableColumn id="16" name="Фасад 1 Ширина" dataDxfId="57"/>
    <tableColumn id="17" name="Фасад 2 Высота" dataDxfId="56">
      <calculatedColumnFormula>ТаблицаКорпус[[#This Row],[Фасад 1 Высота]]</calculatedColumnFormula>
    </tableColumn>
    <tableColumn id="18" name="Фасад 2 Ширина" dataDxfId="55"/>
    <tableColumn id="19" name="Фасад 3 Высота" dataDxfId="54">
      <calculatedColumnFormula>ТаблицаКорпус[[#This Row],[Фасад 1 Высота]]</calculatedColumnFormula>
    </tableColumn>
    <tableColumn id="20" name="Фасад 3 Ширина" dataDxfId="53"/>
    <tableColumn id="21" name="Фасад 4 Высота" dataDxfId="52">
      <calculatedColumnFormula>ТаблицаКорпус[[#This Row],[Фасад 1 Высота]]</calculatedColumnFormula>
    </tableColumn>
    <tableColumn id="22" name="Фасад 4 Ширина" dataDxfId="51"/>
    <tableColumn id="23" name="Радиусный" dataDxfId="5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аблицаКорпус_2" displayName="ТаблицаКорпус_2" ref="A1:H3" tableType="queryTable" insertRow="1" totalsRowCount="1" headerRowDxfId="49" dataDxfId="48" totalsRowDxfId="47">
  <autoFilter ref="A1:H2"/>
  <sortState ref="A2:H2">
    <sortCondition ref="A1:A5"/>
  </sortState>
  <tableColumns count="8">
    <tableColumn id="1" uniqueName="1" name="Позиция" queryTableFieldId="1" dataDxfId="31" totalsRowDxfId="32"/>
    <tableColumn id="2" uniqueName="2" name="Артикул" queryTableFieldId="2" dataDxfId="30" totalsRowDxfId="33"/>
    <tableColumn id="3" uniqueName="3" name="Высота" queryTableFieldId="3" dataDxfId="29" totalsRowDxfId="34"/>
    <tableColumn id="4" uniqueName="4" name="Ширина" queryTableFieldId="4" dataDxfId="28" totalsRowDxfId="35"/>
    <tableColumn id="5" uniqueName="5" name="Глубина" queryTableFieldId="5" dataDxfId="27" totalsRowDxfId="36"/>
    <tableColumn id="6" uniqueName="6" name="Кол-во" totalsRowFunction="custom" queryTableFieldId="6" dataDxfId="26" totalsRowDxfId="37">
      <totalsRowFormula>SUM(F2:F2)</totalsRowFormula>
    </tableColumn>
    <tableColumn id="7" uniqueName="7" name="Сумма" totalsRowFunction="custom" queryTableFieldId="7" dataDxfId="25" totalsRowDxfId="38">
      <totalsRowFormula>SUM(G2:G2)</totalsRowFormula>
    </tableColumn>
    <tableColumn id="8" uniqueName="8" name="Комментарии" totalsRowLabel="опт" queryTableFieldId="8" dataDxfId="24" totalsRowDxfId="39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6" name="Таблица6" displayName="Таблица6" ref="M1:N4" totalsRowShown="0" headerRowDxfId="46" dataDxfId="45">
  <autoFilter ref="M1:N4"/>
  <tableColumns count="2">
    <tableColumn id="1" name="Категория" dataDxfId="44"/>
    <tableColumn id="2" name="Цена" dataDxfId="43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id="1" name="ТаблицаКорпус_22" displayName="ТаблицаКорпус_22" ref="A1:L3" tableType="queryTable" insertRow="1" totalsRowCount="1" headerRowDxfId="42" dataDxfId="41" totalsRowDxfId="40">
  <autoFilter ref="A1:L2"/>
  <tableColumns count="12">
    <tableColumn id="14" uniqueName="14" name="Артикул" queryTableFieldId="21" dataDxfId="11" totalsRowDxfId="12"/>
    <tableColumn id="6" uniqueName="6" name="Кол-во" totalsRowFunction="custom" queryTableFieldId="6" dataDxfId="10" totalsRowDxfId="13">
      <totalsRowFormula>SUM(B2:B2)</totalsRowFormula>
    </tableColumn>
    <tableColumn id="31" uniqueName="31" name="м2" totalsRowFunction="sum" queryTableFieldId="52" dataDxfId="9" totalsRowDxfId="14"/>
    <tableColumn id="20" uniqueName="20" name="Д1" queryTableFieldId="30" dataDxfId="8" totalsRowDxfId="15"/>
    <tableColumn id="29" uniqueName="29" name="Ш1" queryTableFieldId="48" dataDxfId="7" totalsRowDxfId="16"/>
    <tableColumn id="22" uniqueName="22" name="Д2" queryTableFieldId="32" dataDxfId="6" totalsRowDxfId="17"/>
    <tableColumn id="23" uniqueName="23" name="Ш2" queryTableFieldId="33" dataDxfId="5" totalsRowDxfId="18"/>
    <tableColumn id="24" uniqueName="24" name="Д3" queryTableFieldId="34" dataDxfId="4" totalsRowDxfId="19"/>
    <tableColumn id="25" uniqueName="25" name="Ш3" queryTableFieldId="35" dataDxfId="3" totalsRowDxfId="20"/>
    <tableColumn id="26" uniqueName="26" name="Д4" queryTableFieldId="36" dataDxfId="2" totalsRowDxfId="21"/>
    <tableColumn id="27" uniqueName="27" name="Ш4" queryTableFieldId="37" dataDxfId="1" totalsRowDxfId="22"/>
    <tableColumn id="30" uniqueName="30" name="R" totalsRowFunction="count" queryTableFieldId="51" dataDxfId="0" totalsRowDxfId="23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" dT="2021-11-15T13:12:56.71" personId="{8C3E20DF-B2E0-4353-85C0-3E212F2D5563}" id="{31CB0A8B-3366-463D-83A4-FF7818EDFACA}">
    <text>цена за кв.м корпуса</text>
  </threadedComment>
  <threadedComment ref="P1" dT="2021-11-15T13:13:34.98" personId="{8C3E20DF-B2E0-4353-85C0-3E212F2D5563}" id="{05E52AEC-9D9C-44BC-8BDA-2A839E8D265D}">
    <text>цена за ферезровку боковины под ручку Gol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ru/i/FOcjKbKQLZL8fw" TargetMode="External"/><Relationship Id="rId1" Type="http://schemas.openxmlformats.org/officeDocument/2006/relationships/hyperlink" Target="https://disk.yandex.ru/i/jSLKEvW6ZrWqj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>
    <pageSetUpPr fitToPage="1"/>
  </sheetPr>
  <dimension ref="A1:Z225"/>
  <sheetViews>
    <sheetView tabSelected="1" zoomScale="60" zoomScaleNormal="60" workbookViewId="0">
      <pane ySplit="2" topLeftCell="A3" activePane="bottomLeft" state="frozen"/>
      <selection activeCell="B1" sqref="B1"/>
      <selection pane="bottomLeft" activeCell="C4" sqref="C4"/>
    </sheetView>
  </sheetViews>
  <sheetFormatPr defaultRowHeight="25.5"/>
  <cols>
    <col min="1" max="1" width="4.7109375" style="59" customWidth="1"/>
    <col min="2" max="2" width="28.5703125" style="97" customWidth="1"/>
    <col min="3" max="3" width="21.42578125" style="98" bestFit="1" customWidth="1"/>
    <col min="4" max="4" width="26.140625" style="98" bestFit="1" customWidth="1"/>
    <col min="5" max="5" width="19.85546875" style="100" bestFit="1" customWidth="1"/>
    <col min="6" max="6" width="21.42578125" style="100" bestFit="1" customWidth="1"/>
    <col min="7" max="7" width="21.140625" style="100" bestFit="1" customWidth="1"/>
    <col min="8" max="8" width="30" style="100" bestFit="1" customWidth="1"/>
    <col min="9" max="9" width="24.5703125" style="101" bestFit="1" customWidth="1"/>
    <col min="10" max="10" width="19.140625" style="100" bestFit="1" customWidth="1"/>
    <col min="11" max="11" width="37.5703125" style="102" customWidth="1"/>
    <col min="12" max="12" width="29.140625" style="103" bestFit="1" customWidth="1"/>
    <col min="13" max="13" width="29.28515625" style="104" hidden="1" customWidth="1"/>
    <col min="14" max="14" width="30" style="105" customWidth="1"/>
    <col min="15" max="15" width="20.5703125" style="59" hidden="1" customWidth="1"/>
    <col min="16" max="16" width="33.140625" style="59" hidden="1" customWidth="1"/>
    <col min="17" max="17" width="35" style="59" hidden="1" customWidth="1"/>
    <col min="18" max="18" width="33.140625" style="59" hidden="1" customWidth="1"/>
    <col min="19" max="19" width="35" style="59" hidden="1" customWidth="1"/>
    <col min="20" max="20" width="29" style="59" hidden="1" customWidth="1"/>
    <col min="21" max="21" width="30.85546875" style="59" hidden="1" customWidth="1"/>
    <col min="22" max="22" width="29" style="59" hidden="1" customWidth="1"/>
    <col min="23" max="23" width="30.5703125" style="59" hidden="1" customWidth="1"/>
    <col min="24" max="24" width="28.7109375" style="59" hidden="1" customWidth="1"/>
    <col min="25" max="25" width="64.140625" style="59" customWidth="1"/>
    <col min="26" max="27" width="23.140625" style="59" bestFit="1" customWidth="1"/>
    <col min="28" max="28" width="5.42578125" style="59" bestFit="1" customWidth="1"/>
    <col min="29" max="16384" width="9.140625" style="59"/>
  </cols>
  <sheetData>
    <row r="1" spans="1:26">
      <c r="A1" s="51" t="s">
        <v>503</v>
      </c>
      <c r="B1" s="52"/>
      <c r="C1" s="53"/>
      <c r="D1" s="54"/>
      <c r="E1" s="54"/>
      <c r="F1" s="54"/>
      <c r="G1" s="55"/>
      <c r="H1" s="55"/>
      <c r="I1" s="56"/>
      <c r="J1" s="55"/>
      <c r="K1" s="57"/>
      <c r="L1" s="58"/>
      <c r="M1" s="53"/>
      <c r="N1" s="59"/>
      <c r="O1" s="59">
        <f>VLOOKUP(Z1,Таблица6[#All],2,FALSE)</f>
        <v>3200</v>
      </c>
      <c r="P1" s="59">
        <v>180</v>
      </c>
      <c r="Y1" s="60" t="s">
        <v>506</v>
      </c>
      <c r="Z1" s="61" t="s">
        <v>495</v>
      </c>
    </row>
    <row r="2" spans="1:26">
      <c r="B2" s="62" t="s">
        <v>182</v>
      </c>
      <c r="C2" s="63" t="s">
        <v>177</v>
      </c>
      <c r="D2" s="63" t="s">
        <v>0</v>
      </c>
      <c r="E2" s="64" t="s">
        <v>1</v>
      </c>
      <c r="F2" s="64" t="s">
        <v>2</v>
      </c>
      <c r="G2" s="64" t="s">
        <v>3</v>
      </c>
      <c r="H2" s="64" t="s">
        <v>366</v>
      </c>
      <c r="I2" s="65" t="s">
        <v>4</v>
      </c>
      <c r="J2" s="64" t="s">
        <v>33</v>
      </c>
      <c r="K2" s="66" t="s">
        <v>31</v>
      </c>
      <c r="L2" s="67" t="s">
        <v>13</v>
      </c>
      <c r="M2" s="63" t="s">
        <v>183</v>
      </c>
      <c r="N2" s="63" t="s">
        <v>363</v>
      </c>
      <c r="O2" s="68" t="s">
        <v>482</v>
      </c>
      <c r="P2" s="68" t="s">
        <v>469</v>
      </c>
      <c r="Q2" s="68" t="s">
        <v>470</v>
      </c>
      <c r="R2" s="68" t="s">
        <v>471</v>
      </c>
      <c r="S2" s="68" t="s">
        <v>472</v>
      </c>
      <c r="T2" s="59" t="s">
        <v>473</v>
      </c>
      <c r="U2" s="59" t="s">
        <v>474</v>
      </c>
      <c r="V2" s="59" t="s">
        <v>475</v>
      </c>
      <c r="W2" s="59" t="s">
        <v>483</v>
      </c>
      <c r="X2" s="59" t="s">
        <v>484</v>
      </c>
      <c r="Y2" s="60" t="s">
        <v>505</v>
      </c>
      <c r="Z2" s="69">
        <v>64</v>
      </c>
    </row>
    <row r="3" spans="1:26">
      <c r="A3" s="70" t="s">
        <v>30</v>
      </c>
      <c r="B3" s="71"/>
      <c r="C3" s="72"/>
      <c r="D3" s="72"/>
      <c r="E3" s="73"/>
      <c r="F3" s="73"/>
      <c r="G3" s="73"/>
      <c r="H3" s="73"/>
      <c r="I3" s="74"/>
      <c r="J3" s="73"/>
      <c r="K3" s="75"/>
      <c r="L3" s="75"/>
      <c r="M3" s="75"/>
      <c r="N3" s="75"/>
      <c r="O3" s="76"/>
      <c r="P3" s="76"/>
      <c r="Q3" s="76"/>
      <c r="R3" s="76">
        <f>ТаблицаКорпус[[#This Row],[Фасад 1 Высота]]</f>
        <v>0</v>
      </c>
      <c r="S3" s="76"/>
      <c r="T3" s="76">
        <f>ТаблицаКорпус[[#This Row],[Фасад 1 Высота]]</f>
        <v>0</v>
      </c>
      <c r="U3" s="76"/>
      <c r="V3" s="76">
        <f>ТаблицаКорпус[[#This Row],[Фасад 1 Высота]]</f>
        <v>0</v>
      </c>
      <c r="W3" s="76"/>
      <c r="X3" s="76"/>
      <c r="Y3" s="60" t="s">
        <v>504</v>
      </c>
      <c r="Z3" s="69">
        <v>60</v>
      </c>
    </row>
    <row r="4" spans="1:26" ht="154.15" customHeight="1">
      <c r="B4" s="77"/>
      <c r="C4" s="78"/>
      <c r="D4" s="79" t="s">
        <v>5</v>
      </c>
      <c r="E4" s="80">
        <v>780</v>
      </c>
      <c r="F4" s="80">
        <v>1200</v>
      </c>
      <c r="G4" s="80">
        <v>580</v>
      </c>
      <c r="H4" s="80">
        <v>0</v>
      </c>
      <c r="I4" s="81">
        <f>((E4*2+F4*(ТаблицаКорпус[[#This Row],[Кол-во полок]]+1))*G4+E4*600+F4*100)/1000000*$O$1+$P$1*2</f>
        <v>7364.16</v>
      </c>
      <c r="J4" s="82">
        <v>0</v>
      </c>
      <c r="K4" s="83">
        <f t="shared" ref="K4:K39" si="0">I4*J4</f>
        <v>0</v>
      </c>
      <c r="L4" s="84" t="s">
        <v>477</v>
      </c>
      <c r="M4" s="85" t="s">
        <v>185</v>
      </c>
      <c r="N4" s="86"/>
      <c r="O4" s="76">
        <v>1</v>
      </c>
      <c r="P4" s="87">
        <f>ТаблицаКорпус[[#This Row],[Высота]]-30</f>
        <v>750</v>
      </c>
      <c r="Q4" s="87">
        <f>ТаблицаКорпус[[#This Row],[Ширина]]-580-20-3</f>
        <v>597</v>
      </c>
      <c r="R4" s="76"/>
      <c r="S4" s="76"/>
      <c r="T4" s="76"/>
      <c r="U4" s="76"/>
      <c r="V4" s="76"/>
      <c r="W4" s="76"/>
      <c r="X4" s="76"/>
    </row>
    <row r="5" spans="1:26" ht="154.15" customHeight="1">
      <c r="B5" s="77"/>
      <c r="C5" s="78"/>
      <c r="D5" s="79" t="s">
        <v>6</v>
      </c>
      <c r="E5" s="80">
        <v>780</v>
      </c>
      <c r="F5" s="80">
        <v>1120</v>
      </c>
      <c r="G5" s="80">
        <v>580</v>
      </c>
      <c r="H5" s="80">
        <v>0</v>
      </c>
      <c r="I5" s="81">
        <f>((E5*2+F5*(ТаблицаКорпус[[#This Row],[Кол-во полок]]+1))*G5+E5*600+F5*100)/1000000*$O$1+$P$1*2</f>
        <v>7190.08</v>
      </c>
      <c r="J5" s="82">
        <v>0</v>
      </c>
      <c r="K5" s="83">
        <f t="shared" si="0"/>
        <v>0</v>
      </c>
      <c r="L5" s="84" t="s">
        <v>478</v>
      </c>
      <c r="M5" s="85" t="s">
        <v>186</v>
      </c>
      <c r="N5" s="86"/>
      <c r="O5" s="76">
        <v>2</v>
      </c>
      <c r="P5" s="76">
        <f>ТаблицаКорпус[[#This Row],[Высота]]-30</f>
        <v>750</v>
      </c>
      <c r="Q5" s="76">
        <f>ТаблицаКорпус[[#This Row],[Ширина]]-ТаблицаКорпус[[#This Row],[Глубина]]-40-3</f>
        <v>497</v>
      </c>
      <c r="R5" s="76">
        <f>ТаблицаКорпус[[#This Row],[Фасад 1 Высота]]</f>
        <v>750</v>
      </c>
      <c r="S5" s="76">
        <v>70</v>
      </c>
      <c r="T5" s="76"/>
      <c r="U5" s="76"/>
      <c r="V5" s="76"/>
      <c r="W5" s="76"/>
      <c r="X5" s="76"/>
    </row>
    <row r="6" spans="1:26" ht="154.15" customHeight="1">
      <c r="B6" s="77"/>
      <c r="C6" s="78"/>
      <c r="D6" s="79" t="s">
        <v>7</v>
      </c>
      <c r="E6" s="80">
        <v>780</v>
      </c>
      <c r="F6" s="80">
        <v>1120</v>
      </c>
      <c r="G6" s="80">
        <v>580</v>
      </c>
      <c r="H6" s="80">
        <v>0</v>
      </c>
      <c r="I6" s="81">
        <f>((E6*2+F6*(ТаблицаКорпус[[#This Row],[Кол-во полок]]+1))*G6+E6*600+F6*100)/1000000*$O$1+$P$1*2</f>
        <v>7190.08</v>
      </c>
      <c r="J6" s="82">
        <v>0</v>
      </c>
      <c r="K6" s="83">
        <f t="shared" si="0"/>
        <v>0</v>
      </c>
      <c r="L6" s="84" t="s">
        <v>478</v>
      </c>
      <c r="M6" s="85" t="s">
        <v>187</v>
      </c>
      <c r="N6" s="86"/>
      <c r="O6" s="76">
        <v>3</v>
      </c>
      <c r="P6" s="76">
        <f>ТаблицаКорпус[[#This Row],[Высота]]-30</f>
        <v>750</v>
      </c>
      <c r="Q6" s="76">
        <f>ТаблицаКорпус[[#This Row],[Ширина]]-ТаблицаКорпус[[#This Row],[Глубина]]-40-3</f>
        <v>497</v>
      </c>
      <c r="R6" s="76">
        <f>ТаблицаКорпус[[#This Row],[Фасад 1 Высота]]</f>
        <v>750</v>
      </c>
      <c r="S6" s="76">
        <v>70</v>
      </c>
      <c r="T6" s="76">
        <f>ТаблицаКорпус[[#This Row],[Фасад 1 Высота]]</f>
        <v>750</v>
      </c>
      <c r="U6" s="76">
        <v>20</v>
      </c>
      <c r="V6" s="76"/>
      <c r="W6" s="76"/>
      <c r="X6" s="76"/>
    </row>
    <row r="7" spans="1:26" ht="154.15" customHeight="1">
      <c r="B7" s="77"/>
      <c r="C7" s="78"/>
      <c r="D7" s="79" t="s">
        <v>8</v>
      </c>
      <c r="E7" s="80">
        <v>780</v>
      </c>
      <c r="F7" s="80">
        <v>1070</v>
      </c>
      <c r="G7" s="80">
        <v>580</v>
      </c>
      <c r="H7" s="80">
        <v>0</v>
      </c>
      <c r="I7" s="81">
        <f>((E7*2+F7*(ТаблицаКорпус[[#This Row],[Кол-во полок]]+1))*G7+E7*600+F7*100)/1000000*$O$1+$P$1*2</f>
        <v>7081.28</v>
      </c>
      <c r="J7" s="82">
        <v>0</v>
      </c>
      <c r="K7" s="83">
        <f t="shared" si="0"/>
        <v>0</v>
      </c>
      <c r="L7" s="84" t="s">
        <v>478</v>
      </c>
      <c r="M7" s="85" t="s">
        <v>188</v>
      </c>
      <c r="N7" s="86"/>
      <c r="O7" s="76">
        <v>3</v>
      </c>
      <c r="P7" s="76">
        <f>ТаблицаКорпус[[#This Row],[Высота]]-30</f>
        <v>750</v>
      </c>
      <c r="Q7" s="76">
        <f>ТаблицаКорпус[[#This Row],[Ширина]]-ТаблицаКорпус[[#This Row],[Глубина]]-40-3</f>
        <v>447</v>
      </c>
      <c r="R7" s="76">
        <f>ТаблицаКорпус[[#This Row],[Фасад 1 Высота]]</f>
        <v>750</v>
      </c>
      <c r="S7" s="76">
        <v>70</v>
      </c>
      <c r="T7" s="76">
        <f>ТаблицаКорпус[[#This Row],[Фасад 1 Высота]]</f>
        <v>750</v>
      </c>
      <c r="U7" s="76">
        <v>20</v>
      </c>
      <c r="V7" s="76"/>
      <c r="W7" s="76"/>
      <c r="X7" s="76"/>
    </row>
    <row r="8" spans="1:26" ht="154.15" customHeight="1">
      <c r="B8" s="77"/>
      <c r="C8" s="78"/>
      <c r="D8" s="79" t="s">
        <v>9</v>
      </c>
      <c r="E8" s="80">
        <v>780</v>
      </c>
      <c r="F8" s="80">
        <v>1050</v>
      </c>
      <c r="G8" s="80">
        <v>580</v>
      </c>
      <c r="H8" s="80">
        <v>1</v>
      </c>
      <c r="I8" s="81">
        <f>((E8*2+F8*(ТаблицаКорпус[[#This Row],[Кол-во полок]]+1))*G8+E8*600+F8*70*2)/1000000*$O$1+$P$1*2</f>
        <v>9120.9599999999991</v>
      </c>
      <c r="J8" s="82">
        <v>0</v>
      </c>
      <c r="K8" s="83">
        <f t="shared" si="0"/>
        <v>0</v>
      </c>
      <c r="L8" s="84" t="s">
        <v>479</v>
      </c>
      <c r="M8" s="85" t="s">
        <v>189</v>
      </c>
      <c r="N8" s="86"/>
      <c r="O8" s="76">
        <v>1</v>
      </c>
      <c r="P8" s="76">
        <f>ТаблицаКорпус[[#This Row],[Высота]]-30</f>
        <v>750</v>
      </c>
      <c r="Q8" s="76">
        <f>ТаблицаКорпус[[#This Row],[Ширина]]-ТаблицаКорпус[[#This Row],[Глубина]]-20-3</f>
        <v>447</v>
      </c>
      <c r="R8" s="76"/>
      <c r="S8" s="76"/>
      <c r="T8" s="76"/>
      <c r="U8" s="76"/>
      <c r="V8" s="76"/>
      <c r="W8" s="76"/>
      <c r="X8" s="76"/>
    </row>
    <row r="9" spans="1:26" ht="154.15" customHeight="1">
      <c r="B9" s="77"/>
      <c r="C9" s="78"/>
      <c r="D9" s="79" t="s">
        <v>10</v>
      </c>
      <c r="E9" s="80">
        <v>780</v>
      </c>
      <c r="F9" s="80">
        <v>1070</v>
      </c>
      <c r="G9" s="80">
        <v>580</v>
      </c>
      <c r="H9" s="80">
        <v>1</v>
      </c>
      <c r="I9" s="81">
        <f>((E9*2+F9*(ТаблицаКорпус[[#This Row],[Кол-во полок]]+1))*G9+E9*600+F9*70*2)/1000000*$O$1+$P$1*2</f>
        <v>9204.16</v>
      </c>
      <c r="J9" s="82">
        <v>0</v>
      </c>
      <c r="K9" s="83">
        <f t="shared" si="0"/>
        <v>0</v>
      </c>
      <c r="L9" s="84" t="s">
        <v>478</v>
      </c>
      <c r="M9" s="85" t="s">
        <v>190</v>
      </c>
      <c r="N9" s="86"/>
      <c r="O9" s="76">
        <v>2</v>
      </c>
      <c r="P9" s="76">
        <f>ТаблицаКорпус[[#This Row],[Высота]]-30</f>
        <v>750</v>
      </c>
      <c r="Q9" s="76">
        <f>ТаблицаКорпус[[#This Row],[Ширина]]-ТаблицаКорпус[[#This Row],[Глубина]]-40-3</f>
        <v>447</v>
      </c>
      <c r="R9" s="76">
        <f>ТаблицаКорпус[[#This Row],[Фасад 1 Высота]]</f>
        <v>750</v>
      </c>
      <c r="S9" s="76">
        <v>70</v>
      </c>
      <c r="T9" s="76"/>
      <c r="U9" s="76"/>
      <c r="V9" s="76"/>
      <c r="W9" s="76"/>
      <c r="X9" s="76"/>
    </row>
    <row r="10" spans="1:26" ht="154.15" customHeight="1">
      <c r="B10" s="77"/>
      <c r="C10" s="78"/>
      <c r="D10" s="79" t="s">
        <v>11</v>
      </c>
      <c r="E10" s="80">
        <v>780</v>
      </c>
      <c r="F10" s="80">
        <v>1070</v>
      </c>
      <c r="G10" s="80">
        <v>580</v>
      </c>
      <c r="H10" s="80">
        <v>1</v>
      </c>
      <c r="I10" s="81">
        <f>((E10*2+F10*(ТаблицаКорпус[[#This Row],[Кол-во полок]]+1))*G10+E10*600+F10*70*2)/1000000*$O$1+$P$1*2</f>
        <v>9204.16</v>
      </c>
      <c r="J10" s="82">
        <v>0</v>
      </c>
      <c r="K10" s="83">
        <f t="shared" si="0"/>
        <v>0</v>
      </c>
      <c r="L10" s="84" t="s">
        <v>478</v>
      </c>
      <c r="M10" s="85" t="s">
        <v>191</v>
      </c>
      <c r="N10" s="86"/>
      <c r="O10" s="76">
        <v>3</v>
      </c>
      <c r="P10" s="76">
        <f>ТаблицаКорпус[[#This Row],[Высота]]-30</f>
        <v>750</v>
      </c>
      <c r="Q10" s="76">
        <f>ТаблицаКорпус[[#This Row],[Ширина]]-ТаблицаКорпус[[#This Row],[Глубина]]-40-3</f>
        <v>447</v>
      </c>
      <c r="R10" s="76">
        <f>ТаблицаКорпус[[#This Row],[Фасад 1 Высота]]</f>
        <v>750</v>
      </c>
      <c r="S10" s="76">
        <v>70</v>
      </c>
      <c r="T10" s="76">
        <f>ТаблицаКорпус[[#This Row],[Фасад 1 Высота]]</f>
        <v>750</v>
      </c>
      <c r="U10" s="76">
        <v>20</v>
      </c>
      <c r="V10" s="76"/>
      <c r="W10" s="76"/>
      <c r="X10" s="76"/>
    </row>
    <row r="11" spans="1:26" ht="154.15" customHeight="1">
      <c r="B11" s="77"/>
      <c r="C11" s="78"/>
      <c r="D11" s="79" t="s">
        <v>12</v>
      </c>
      <c r="E11" s="80">
        <v>780</v>
      </c>
      <c r="F11" s="80">
        <v>1070</v>
      </c>
      <c r="G11" s="80">
        <v>580</v>
      </c>
      <c r="H11" s="80">
        <v>1</v>
      </c>
      <c r="I11" s="81">
        <f>((E11*2+F11*(ТаблицаКорпус[[#This Row],[Кол-во полок]]+1))*G11+E11*600+F11*70*2)/1000000*$O$1+$P$1*2</f>
        <v>9204.16</v>
      </c>
      <c r="J11" s="82">
        <v>0</v>
      </c>
      <c r="K11" s="83">
        <f t="shared" si="0"/>
        <v>0</v>
      </c>
      <c r="L11" s="84" t="s">
        <v>478</v>
      </c>
      <c r="M11" s="85" t="s">
        <v>192</v>
      </c>
      <c r="N11" s="86"/>
      <c r="O11" s="76">
        <v>3</v>
      </c>
      <c r="P11" s="76">
        <f>ТаблицаКорпус[[#This Row],[Высота]]-30</f>
        <v>750</v>
      </c>
      <c r="Q11" s="76">
        <f>ТаблицаКорпус[[#This Row],[Ширина]]-ТаблицаКорпус[[#This Row],[Глубина]]-40-3</f>
        <v>447</v>
      </c>
      <c r="R11" s="76">
        <f>ТаблицаКорпус[[#This Row],[Фасад 1 Высота]]</f>
        <v>750</v>
      </c>
      <c r="S11" s="76">
        <v>70</v>
      </c>
      <c r="T11" s="76">
        <f>ТаблицаКорпус[[#This Row],[Фасад 1 Высота]]</f>
        <v>750</v>
      </c>
      <c r="U11" s="76">
        <v>20</v>
      </c>
      <c r="V11" s="76"/>
      <c r="W11" s="76"/>
      <c r="X11" s="76"/>
    </row>
    <row r="12" spans="1:26" ht="154.15" customHeight="1">
      <c r="B12" s="77"/>
      <c r="C12" s="78"/>
      <c r="D12" s="79" t="s">
        <v>15</v>
      </c>
      <c r="E12" s="80">
        <v>780</v>
      </c>
      <c r="F12" s="80">
        <v>1070</v>
      </c>
      <c r="G12" s="80">
        <v>580</v>
      </c>
      <c r="H12" s="80">
        <v>0</v>
      </c>
      <c r="I12" s="81">
        <f>((E12*2+F12*(ТаблицаКорпус[[#This Row],[Кол-во полок]]+1))*G12+E12*600+F12*70*2+(F12-600)*500*3+(F12-600)*550)/1000000*$O$1+$P$1*2</f>
        <v>10301.44</v>
      </c>
      <c r="J12" s="82">
        <v>0</v>
      </c>
      <c r="K12" s="83">
        <f t="shared" si="0"/>
        <v>0</v>
      </c>
      <c r="L12" s="84" t="s">
        <v>478</v>
      </c>
      <c r="M12" s="85" t="s">
        <v>193</v>
      </c>
      <c r="N12" s="86"/>
      <c r="O12" s="76">
        <v>3</v>
      </c>
      <c r="P12" s="76">
        <f>ТаблицаКорпус[[#This Row],[Высота]]-30</f>
        <v>750</v>
      </c>
      <c r="Q12" s="76">
        <f>ТаблицаКорпус[[#This Row],[Ширина]]-ТаблицаКорпус[[#This Row],[Глубина]]-40-3</f>
        <v>447</v>
      </c>
      <c r="R12" s="76">
        <f>ТаблицаКорпус[[#This Row],[Фасад 1 Высота]]</f>
        <v>750</v>
      </c>
      <c r="S12" s="76">
        <v>70</v>
      </c>
      <c r="T12" s="76">
        <f>ТаблицаКорпус[[#This Row],[Фасад 1 Высота]]</f>
        <v>750</v>
      </c>
      <c r="U12" s="76">
        <v>20</v>
      </c>
      <c r="V12" s="76"/>
      <c r="W12" s="76"/>
      <c r="X12" s="76"/>
    </row>
    <row r="13" spans="1:26" ht="154.15" customHeight="1">
      <c r="B13" s="77"/>
      <c r="C13" s="78"/>
      <c r="D13" s="79" t="s">
        <v>16</v>
      </c>
      <c r="E13" s="80">
        <v>780</v>
      </c>
      <c r="F13" s="80">
        <v>1070</v>
      </c>
      <c r="G13" s="80">
        <v>580</v>
      </c>
      <c r="H13" s="80">
        <v>0</v>
      </c>
      <c r="I13" s="81">
        <f>((E13*2+F13*(ТаблицаКорпус[[#This Row],[Кол-во полок]]+1))*G13+E13*600+F13*70*2+(F13-600)*500*3+(F13-600)*550)/1000000*$O$1+$P$1*2</f>
        <v>10301.44</v>
      </c>
      <c r="J13" s="82">
        <v>0</v>
      </c>
      <c r="K13" s="83">
        <f t="shared" si="0"/>
        <v>0</v>
      </c>
      <c r="L13" s="84" t="s">
        <v>478</v>
      </c>
      <c r="M13" s="85" t="s">
        <v>194</v>
      </c>
      <c r="N13" s="86"/>
      <c r="O13" s="76">
        <v>2</v>
      </c>
      <c r="P13" s="76">
        <f>ТаблицаКорпус[[#This Row],[Высота]]-30</f>
        <v>750</v>
      </c>
      <c r="Q13" s="76">
        <f>ТаблицаКорпус[[#This Row],[Ширина]]-ТаблицаКорпус[[#This Row],[Глубина]]-40-3</f>
        <v>447</v>
      </c>
      <c r="R13" s="76">
        <f>ТаблицаКорпус[[#This Row],[Фасад 1 Высота]]</f>
        <v>750</v>
      </c>
      <c r="S13" s="76">
        <v>70</v>
      </c>
      <c r="T13" s="76">
        <f>ТаблицаКорпус[[#This Row],[Фасад 1 Высота]]</f>
        <v>750</v>
      </c>
      <c r="U13" s="76">
        <v>20</v>
      </c>
      <c r="V13" s="76"/>
      <c r="W13" s="76"/>
      <c r="X13" s="76"/>
    </row>
    <row r="14" spans="1:26" ht="154.15" customHeight="1">
      <c r="B14" s="77"/>
      <c r="C14" s="78"/>
      <c r="D14" s="79" t="s">
        <v>14</v>
      </c>
      <c r="E14" s="80">
        <v>780</v>
      </c>
      <c r="F14" s="80">
        <v>600</v>
      </c>
      <c r="G14" s="80">
        <v>580</v>
      </c>
      <c r="H14" s="80">
        <v>0</v>
      </c>
      <c r="I14" s="81">
        <f>((E14*2+F14*(ТаблицаКорпус[[#This Row],[Кол-во полок]]+1))*G14+F14*100)/1000000*$O$1+$P$1*2</f>
        <v>4560.96</v>
      </c>
      <c r="J14" s="82">
        <v>0</v>
      </c>
      <c r="K14" s="83">
        <f t="shared" si="0"/>
        <v>0</v>
      </c>
      <c r="L14" s="84"/>
      <c r="M14" s="85" t="s">
        <v>195</v>
      </c>
      <c r="N14" s="86"/>
      <c r="O14" s="76">
        <v>1</v>
      </c>
      <c r="P14" s="76">
        <f>ТаблицаКорпус[[#This Row],[Высота]]-30</f>
        <v>750</v>
      </c>
      <c r="Q14" s="76">
        <f>ТаблицаКорпус[[#This Row],[Ширина]]-3</f>
        <v>597</v>
      </c>
      <c r="R14" s="76"/>
      <c r="S14" s="76"/>
      <c r="T14" s="76"/>
      <c r="U14" s="76"/>
      <c r="V14" s="76"/>
      <c r="W14" s="76"/>
      <c r="X14" s="76"/>
    </row>
    <row r="15" spans="1:26" ht="154.15" customHeight="1">
      <c r="B15" s="77"/>
      <c r="C15" s="78"/>
      <c r="D15" s="79" t="s">
        <v>17</v>
      </c>
      <c r="E15" s="80">
        <v>780</v>
      </c>
      <c r="F15" s="80">
        <v>900</v>
      </c>
      <c r="G15" s="80">
        <v>580</v>
      </c>
      <c r="H15" s="80">
        <v>0</v>
      </c>
      <c r="I15" s="81">
        <f>((E15*2+F15*(ТаблицаКорпус[[#This Row],[Кол-во полок]]+1))*G15+F15*100)/1000000*$O$1+$P$1*2</f>
        <v>5213.76</v>
      </c>
      <c r="J15" s="82">
        <v>0</v>
      </c>
      <c r="K15" s="83">
        <f t="shared" si="0"/>
        <v>0</v>
      </c>
      <c r="L15" s="84"/>
      <c r="M15" s="85" t="s">
        <v>196</v>
      </c>
      <c r="N15" s="86"/>
      <c r="O15" s="76">
        <v>2</v>
      </c>
      <c r="P15" s="76">
        <f>ТаблицаКорпус[[#This Row],[Высота]]-30</f>
        <v>750</v>
      </c>
      <c r="Q15" s="76">
        <f>ТаблицаКорпус[[#This Row],[Ширина]]/2-3</f>
        <v>447</v>
      </c>
      <c r="R15" s="76">
        <f>ТаблицаКорпус[[#This Row],[Фасад 1 Высота]]</f>
        <v>750</v>
      </c>
      <c r="S15" s="76">
        <f>ТаблицаКорпус[[#This Row],[Ширина]]/2-3</f>
        <v>447</v>
      </c>
      <c r="T15" s="76"/>
      <c r="U15" s="76"/>
      <c r="V15" s="76"/>
      <c r="W15" s="76"/>
      <c r="X15" s="76"/>
    </row>
    <row r="16" spans="1:26" ht="154.15" customHeight="1">
      <c r="B16" s="77"/>
      <c r="C16" s="78"/>
      <c r="D16" s="79" t="s">
        <v>18</v>
      </c>
      <c r="E16" s="80">
        <v>780</v>
      </c>
      <c r="F16" s="80">
        <v>600</v>
      </c>
      <c r="G16" s="80">
        <v>580</v>
      </c>
      <c r="H16" s="80">
        <v>0</v>
      </c>
      <c r="I16" s="81">
        <f>((E16*2+F16*(ТаблицаКорпус[[#This Row],[Кол-во полок]]+1))*G16+F16*(750+100))/1000000*$O$1+$P$1*2</f>
        <v>6000.96</v>
      </c>
      <c r="J16" s="82">
        <v>0</v>
      </c>
      <c r="K16" s="83">
        <f t="shared" si="0"/>
        <v>0</v>
      </c>
      <c r="L16" s="84"/>
      <c r="M16" s="85" t="s">
        <v>197</v>
      </c>
      <c r="N16" s="86"/>
      <c r="O16" s="76">
        <v>1</v>
      </c>
      <c r="P16" s="76">
        <f>ТаблицаКорпус[[#This Row],[Высота]]-30</f>
        <v>750</v>
      </c>
      <c r="Q16" s="76">
        <f>ТаблицаКорпус[[#This Row],[Ширина]]-3</f>
        <v>597</v>
      </c>
      <c r="R16" s="76"/>
      <c r="S16" s="76"/>
      <c r="T16" s="76"/>
      <c r="U16" s="76"/>
      <c r="V16" s="76"/>
      <c r="W16" s="76"/>
      <c r="X16" s="76"/>
    </row>
    <row r="17" spans="2:24" ht="154.15" customHeight="1">
      <c r="B17" s="77"/>
      <c r="C17" s="78"/>
      <c r="D17" s="79" t="s">
        <v>19</v>
      </c>
      <c r="E17" s="80">
        <v>780</v>
      </c>
      <c r="F17" s="80">
        <v>150</v>
      </c>
      <c r="G17" s="80">
        <v>580</v>
      </c>
      <c r="H17" s="80">
        <v>0</v>
      </c>
      <c r="I17" s="81">
        <f>((E17*2+F17*(ТаблицаКорпус[[#This Row],[Кол-во полок]]+2))*G17)/1000000*$O$1+$P$1*2</f>
        <v>3812.16</v>
      </c>
      <c r="J17" s="82">
        <v>0</v>
      </c>
      <c r="K17" s="83">
        <f t="shared" si="0"/>
        <v>0</v>
      </c>
      <c r="L17" s="84" t="s">
        <v>480</v>
      </c>
      <c r="M17" s="85" t="s">
        <v>198</v>
      </c>
      <c r="N17" s="86"/>
      <c r="O17" s="76">
        <v>1</v>
      </c>
      <c r="P17" s="76">
        <f>ТаблицаКорпус[[#This Row],[Высота]]-30</f>
        <v>750</v>
      </c>
      <c r="Q17" s="76">
        <f>ТаблицаКорпус[[#This Row],[Ширина]]-3</f>
        <v>147</v>
      </c>
      <c r="R17" s="76"/>
      <c r="S17" s="76"/>
      <c r="T17" s="76"/>
      <c r="U17" s="76"/>
      <c r="V17" s="76"/>
      <c r="W17" s="76"/>
      <c r="X17" s="76"/>
    </row>
    <row r="18" spans="2:24" ht="154.15" customHeight="1">
      <c r="B18" s="77"/>
      <c r="C18" s="78"/>
      <c r="D18" s="79" t="s">
        <v>20</v>
      </c>
      <c r="E18" s="80">
        <v>780</v>
      </c>
      <c r="F18" s="80">
        <v>600</v>
      </c>
      <c r="G18" s="80">
        <v>580</v>
      </c>
      <c r="H18" s="80">
        <v>1</v>
      </c>
      <c r="I18" s="81">
        <f>((E18*2+F18*(ТаблицаКорпус[[#This Row],[Кол-во полок]]+1))*G18+F18*70*2)/1000000*$O$1+$P$1*2</f>
        <v>5751.3600000000006</v>
      </c>
      <c r="J18" s="82">
        <v>0</v>
      </c>
      <c r="K18" s="83">
        <f t="shared" ref="K18" si="1">I18*J18</f>
        <v>0</v>
      </c>
      <c r="L18" s="84"/>
      <c r="M18" s="85" t="s">
        <v>199</v>
      </c>
      <c r="N18" s="86"/>
      <c r="O18" s="76">
        <v>1</v>
      </c>
      <c r="P18" s="76">
        <f>ТаблицаКорпус[[#This Row],[Высота]]-30</f>
        <v>750</v>
      </c>
      <c r="Q18" s="76">
        <f>ТаблицаКорпус[[#This Row],[Ширина]]-3</f>
        <v>597</v>
      </c>
      <c r="R18" s="76"/>
      <c r="S18" s="76"/>
      <c r="T18" s="76"/>
      <c r="U18" s="76"/>
      <c r="V18" s="76"/>
      <c r="W18" s="76"/>
      <c r="X18" s="76"/>
    </row>
    <row r="19" spans="2:24" ht="154.15" customHeight="1">
      <c r="B19" s="77"/>
      <c r="C19" s="78"/>
      <c r="D19" s="79" t="s">
        <v>20</v>
      </c>
      <c r="E19" s="80">
        <v>780</v>
      </c>
      <c r="F19" s="80">
        <v>600</v>
      </c>
      <c r="G19" s="80">
        <v>580</v>
      </c>
      <c r="H19" s="80">
        <v>1</v>
      </c>
      <c r="I19" s="81">
        <f>((E19*2+F19*(ТаблицаКорпус[[#This Row],[Кол-во полок]]+1))*G19+F19*70*2)/1000000*$O$1+$P$1*2</f>
        <v>5751.3600000000006</v>
      </c>
      <c r="J19" s="82">
        <v>0</v>
      </c>
      <c r="K19" s="83">
        <f t="shared" ref="K19" si="2">I19*J19</f>
        <v>0</v>
      </c>
      <c r="L19" s="84"/>
      <c r="M19" s="85" t="s">
        <v>199</v>
      </c>
      <c r="N19" s="86"/>
      <c r="O19" s="76">
        <v>1</v>
      </c>
      <c r="P19" s="76">
        <f>ТаблицаКорпус[[#This Row],[Высота]]-30</f>
        <v>750</v>
      </c>
      <c r="Q19" s="76">
        <f>ТаблицаКорпус[[#This Row],[Ширина]]-3</f>
        <v>597</v>
      </c>
      <c r="R19" s="76"/>
      <c r="S19" s="76"/>
      <c r="T19" s="76"/>
      <c r="U19" s="76"/>
      <c r="V19" s="76"/>
      <c r="W19" s="76"/>
      <c r="X19" s="76"/>
    </row>
    <row r="20" spans="2:24" ht="154.15" customHeight="1">
      <c r="B20" s="77"/>
      <c r="C20" s="78"/>
      <c r="D20" s="79" t="s">
        <v>20</v>
      </c>
      <c r="E20" s="80">
        <v>780</v>
      </c>
      <c r="F20" s="80">
        <v>600</v>
      </c>
      <c r="G20" s="80">
        <v>580</v>
      </c>
      <c r="H20" s="80">
        <v>1</v>
      </c>
      <c r="I20" s="81">
        <f>((E20*2+F20*(ТаблицаКорпус[[#This Row],[Кол-во полок]]+1))*G20+F20*70*2)/1000000*$O$1+$P$1*2</f>
        <v>5751.3600000000006</v>
      </c>
      <c r="J20" s="82">
        <v>0</v>
      </c>
      <c r="K20" s="83">
        <f t="shared" si="0"/>
        <v>0</v>
      </c>
      <c r="L20" s="84"/>
      <c r="M20" s="85" t="s">
        <v>199</v>
      </c>
      <c r="N20" s="86"/>
      <c r="O20" s="76">
        <v>1</v>
      </c>
      <c r="P20" s="76">
        <f>ТаблицаКорпус[[#This Row],[Высота]]-30</f>
        <v>750</v>
      </c>
      <c r="Q20" s="76">
        <f>ТаблицаКорпус[[#This Row],[Ширина]]-3</f>
        <v>597</v>
      </c>
      <c r="R20" s="76"/>
      <c r="S20" s="76"/>
      <c r="T20" s="76"/>
      <c r="U20" s="76"/>
      <c r="V20" s="76"/>
      <c r="W20" s="76"/>
      <c r="X20" s="76"/>
    </row>
    <row r="21" spans="2:24" ht="154.15" customHeight="1">
      <c r="B21" s="77"/>
      <c r="C21" s="78"/>
      <c r="D21" s="79" t="s">
        <v>21</v>
      </c>
      <c r="E21" s="80">
        <v>780</v>
      </c>
      <c r="F21" s="80">
        <v>900</v>
      </c>
      <c r="G21" s="80">
        <v>580</v>
      </c>
      <c r="H21" s="80">
        <v>1</v>
      </c>
      <c r="I21" s="81">
        <f>((E21*2+F21*(ТаблицаКорпус[[#This Row],[Кол-во полок]]+1))*G21+F21*70*2)/1000000*$O$1+$P$1*2</f>
        <v>6999.3600000000006</v>
      </c>
      <c r="J21" s="82">
        <v>0</v>
      </c>
      <c r="K21" s="83">
        <f t="shared" ref="K21" si="3">I21*J21</f>
        <v>0</v>
      </c>
      <c r="L21" s="84"/>
      <c r="M21" s="85" t="s">
        <v>200</v>
      </c>
      <c r="N21" s="86"/>
      <c r="O21" s="76">
        <v>2</v>
      </c>
      <c r="P21" s="76">
        <f>ТаблицаКорпус[[#This Row],[Высота]]-30</f>
        <v>750</v>
      </c>
      <c r="Q21" s="76">
        <f>ТаблицаКорпус[[#This Row],[Ширина]]/2-3</f>
        <v>447</v>
      </c>
      <c r="R21" s="76">
        <f>ТаблицаКорпус[[#This Row],[Высота]]-30</f>
        <v>750</v>
      </c>
      <c r="S21" s="76">
        <f>ТаблицаКорпус[[#This Row],[Ширина]]/2-3</f>
        <v>447</v>
      </c>
      <c r="T21" s="76"/>
      <c r="U21" s="76"/>
      <c r="V21" s="76"/>
      <c r="W21" s="76"/>
      <c r="X21" s="76"/>
    </row>
    <row r="22" spans="2:24" ht="154.15" customHeight="1">
      <c r="B22" s="77"/>
      <c r="C22" s="78"/>
      <c r="D22" s="79" t="s">
        <v>21</v>
      </c>
      <c r="E22" s="80">
        <v>780</v>
      </c>
      <c r="F22" s="80">
        <v>900</v>
      </c>
      <c r="G22" s="80">
        <v>580</v>
      </c>
      <c r="H22" s="80">
        <v>1</v>
      </c>
      <c r="I22" s="81">
        <f>((E22*2+F22*(ТаблицаКорпус[[#This Row],[Кол-во полок]]+1))*G22+F22*70*2)/1000000*$O$1+$P$1*2</f>
        <v>6999.3600000000006</v>
      </c>
      <c r="J22" s="82">
        <v>0</v>
      </c>
      <c r="K22" s="83">
        <f t="shared" ref="K22" si="4">I22*J22</f>
        <v>0</v>
      </c>
      <c r="L22" s="84"/>
      <c r="M22" s="85" t="s">
        <v>200</v>
      </c>
      <c r="N22" s="86"/>
      <c r="O22" s="76">
        <v>2</v>
      </c>
      <c r="P22" s="76">
        <f>ТаблицаКорпус[[#This Row],[Высота]]-30</f>
        <v>750</v>
      </c>
      <c r="Q22" s="76">
        <f>ТаблицаКорпус[[#This Row],[Ширина]]/2-3</f>
        <v>447</v>
      </c>
      <c r="R22" s="76">
        <f>ТаблицаКорпус[[#This Row],[Высота]]-30</f>
        <v>750</v>
      </c>
      <c r="S22" s="76">
        <f>ТаблицаКорпус[[#This Row],[Ширина]]/2-3</f>
        <v>447</v>
      </c>
      <c r="T22" s="76"/>
      <c r="U22" s="76"/>
      <c r="V22" s="76"/>
      <c r="W22" s="76"/>
      <c r="X22" s="76"/>
    </row>
    <row r="23" spans="2:24" ht="154.15" customHeight="1">
      <c r="B23" s="77"/>
      <c r="C23" s="78"/>
      <c r="D23" s="79" t="s">
        <v>21</v>
      </c>
      <c r="E23" s="80">
        <v>780</v>
      </c>
      <c r="F23" s="80">
        <v>900</v>
      </c>
      <c r="G23" s="80">
        <v>580</v>
      </c>
      <c r="H23" s="80">
        <v>1</v>
      </c>
      <c r="I23" s="81">
        <f>((E23*2+F23*(ТаблицаКорпус[[#This Row],[Кол-во полок]]+1))*G23+F23*70*2)/1000000*$O$1+$P$1*2</f>
        <v>6999.3600000000006</v>
      </c>
      <c r="J23" s="82">
        <v>0</v>
      </c>
      <c r="K23" s="83">
        <f t="shared" si="0"/>
        <v>0</v>
      </c>
      <c r="L23" s="84"/>
      <c r="M23" s="85" t="s">
        <v>200</v>
      </c>
      <c r="N23" s="86"/>
      <c r="O23" s="76">
        <v>2</v>
      </c>
      <c r="P23" s="76">
        <f>ТаблицаКорпус[[#This Row],[Высота]]-30</f>
        <v>750</v>
      </c>
      <c r="Q23" s="76">
        <f>ТаблицаКорпус[[#This Row],[Ширина]]/2-3</f>
        <v>447</v>
      </c>
      <c r="R23" s="76">
        <f>ТаблицаКорпус[[#This Row],[Высота]]-30</f>
        <v>750</v>
      </c>
      <c r="S23" s="76">
        <f>ТаблицаКорпус[[#This Row],[Ширина]]/2-3</f>
        <v>447</v>
      </c>
      <c r="T23" s="76"/>
      <c r="U23" s="76"/>
      <c r="V23" s="76"/>
      <c r="W23" s="76"/>
      <c r="X23" s="76"/>
    </row>
    <row r="24" spans="2:24" ht="154.15" customHeight="1">
      <c r="B24" s="77"/>
      <c r="C24" s="78"/>
      <c r="D24" s="79" t="s">
        <v>22</v>
      </c>
      <c r="E24" s="80">
        <v>780</v>
      </c>
      <c r="F24" s="80">
        <v>600</v>
      </c>
      <c r="G24" s="80">
        <v>580</v>
      </c>
      <c r="H24" s="80">
        <v>0</v>
      </c>
      <c r="I24" s="81">
        <f>((E24*2+F24*(ТаблицаКорпус[[#This Row],[Кол-во полок]]+1))*G24+F24*(140+1000+450))/1000000*$O$1+$P$1*2</f>
        <v>7421.7599999999993</v>
      </c>
      <c r="J24" s="82">
        <v>0</v>
      </c>
      <c r="K24" s="83">
        <f t="shared" si="0"/>
        <v>0</v>
      </c>
      <c r="L24" s="84"/>
      <c r="M24" s="85" t="s">
        <v>201</v>
      </c>
      <c r="N24" s="86"/>
      <c r="O24" s="76">
        <v>1</v>
      </c>
      <c r="P24" s="76">
        <f>ТаблицаКорпус[[#This Row],[Высота]]-30</f>
        <v>750</v>
      </c>
      <c r="Q24" s="76">
        <f>ТаблицаКорпус[[#This Row],[Ширина]]-3</f>
        <v>597</v>
      </c>
      <c r="R24" s="76"/>
      <c r="S24" s="76"/>
      <c r="T24" s="76"/>
      <c r="U24" s="76"/>
      <c r="V24" s="76"/>
      <c r="W24" s="76"/>
      <c r="X24" s="76"/>
    </row>
    <row r="25" spans="2:24" ht="154.15" customHeight="1">
      <c r="B25" s="77"/>
      <c r="C25" s="78"/>
      <c r="D25" s="79" t="s">
        <v>23</v>
      </c>
      <c r="E25" s="80">
        <v>780</v>
      </c>
      <c r="F25" s="80">
        <v>600</v>
      </c>
      <c r="G25" s="80">
        <v>580</v>
      </c>
      <c r="H25" s="80">
        <v>0</v>
      </c>
      <c r="I25" s="81">
        <f>((E25*2+F25*(ТаблицаКорпус[[#This Row],[Кол-во полок]]+1))*G25+F25*(140+1000+350))/1000000*$O$1+$P$1*2</f>
        <v>7229.7599999999993</v>
      </c>
      <c r="J25" s="82">
        <v>0</v>
      </c>
      <c r="K25" s="83">
        <f t="shared" si="0"/>
        <v>0</v>
      </c>
      <c r="L25" s="84"/>
      <c r="M25" s="85" t="s">
        <v>202</v>
      </c>
      <c r="N25" s="86"/>
      <c r="O25" s="76">
        <v>1</v>
      </c>
      <c r="P25" s="76">
        <f>ТаблицаКорпус[[#This Row],[Высота]]-30</f>
        <v>750</v>
      </c>
      <c r="Q25" s="76">
        <f>ТаблицаКорпус[[#This Row],[Ширина]]-3</f>
        <v>597</v>
      </c>
      <c r="R25" s="76"/>
      <c r="S25" s="76"/>
      <c r="T25" s="76"/>
      <c r="U25" s="76"/>
      <c r="V25" s="76"/>
      <c r="W25" s="76"/>
      <c r="X25" s="76"/>
    </row>
    <row r="26" spans="2:24" ht="154.15" customHeight="1">
      <c r="B26" s="77"/>
      <c r="C26" s="78"/>
      <c r="D26" s="79" t="s">
        <v>24</v>
      </c>
      <c r="E26" s="80">
        <v>780</v>
      </c>
      <c r="F26" s="80">
        <v>600</v>
      </c>
      <c r="G26" s="80">
        <v>580</v>
      </c>
      <c r="H26" s="80">
        <v>0</v>
      </c>
      <c r="I26" s="81">
        <f>((E26*2+F26*(ТаблицаКорпус[[#This Row],[Кол-во полок]]+1))*G26+F26*(140+1500+450))/1000000*$O$1+$P$1*2</f>
        <v>8381.76</v>
      </c>
      <c r="J26" s="82">
        <v>0</v>
      </c>
      <c r="K26" s="83">
        <f t="shared" si="0"/>
        <v>0</v>
      </c>
      <c r="L26" s="84"/>
      <c r="M26" s="85" t="s">
        <v>203</v>
      </c>
      <c r="N26" s="86"/>
      <c r="O26" s="76">
        <v>1</v>
      </c>
      <c r="P26" s="76">
        <f>ТаблицаКорпус[[#This Row],[Высота]]-30</f>
        <v>750</v>
      </c>
      <c r="Q26" s="76">
        <f>ТаблицаКорпус[[#This Row],[Ширина]]-3</f>
        <v>597</v>
      </c>
      <c r="R26" s="76"/>
      <c r="S26" s="76"/>
      <c r="T26" s="76"/>
      <c r="U26" s="76"/>
      <c r="V26" s="76"/>
      <c r="W26" s="76"/>
      <c r="X26" s="76"/>
    </row>
    <row r="27" spans="2:24" ht="154.15" customHeight="1">
      <c r="B27" s="77"/>
      <c r="C27" s="78"/>
      <c r="D27" s="79" t="s">
        <v>25</v>
      </c>
      <c r="E27" s="80">
        <v>780</v>
      </c>
      <c r="F27" s="80">
        <v>600</v>
      </c>
      <c r="G27" s="80">
        <v>580</v>
      </c>
      <c r="H27" s="80">
        <v>0</v>
      </c>
      <c r="I27" s="81">
        <f>((E27*2+F27*(ТаблицаКорпус[[#This Row],[Кол-во полок]]+1))*G27+F27*(140+1000+500))/1000000*$O$1+$P$1*2</f>
        <v>7517.76</v>
      </c>
      <c r="J27" s="82">
        <v>0</v>
      </c>
      <c r="K27" s="83">
        <f t="shared" si="0"/>
        <v>0</v>
      </c>
      <c r="L27" s="84"/>
      <c r="M27" s="85" t="s">
        <v>204</v>
      </c>
      <c r="N27" s="86"/>
      <c r="O27" s="76">
        <v>2</v>
      </c>
      <c r="P27" s="76">
        <f>ТаблицаКорпус[[#This Row],[Высота]]/2-30</f>
        <v>360</v>
      </c>
      <c r="Q27" s="76">
        <f>ТаблицаКорпус[[#This Row],[Ширина]]-3</f>
        <v>597</v>
      </c>
      <c r="R27" s="76">
        <f>ТаблицаКорпус[[#This Row],[Высота]]/2-30</f>
        <v>360</v>
      </c>
      <c r="S27" s="76">
        <f>ТаблицаКорпус[[#This Row],[Ширина]]-3</f>
        <v>597</v>
      </c>
      <c r="T27" s="76"/>
      <c r="U27" s="76"/>
      <c r="V27" s="76"/>
      <c r="W27" s="76"/>
      <c r="X27" s="76"/>
    </row>
    <row r="28" spans="2:24" ht="154.15" customHeight="1">
      <c r="B28" s="77"/>
      <c r="C28" s="78"/>
      <c r="D28" s="79" t="s">
        <v>25</v>
      </c>
      <c r="E28" s="80">
        <v>780</v>
      </c>
      <c r="F28" s="80">
        <v>600</v>
      </c>
      <c r="G28" s="80">
        <v>580</v>
      </c>
      <c r="H28" s="80">
        <v>0</v>
      </c>
      <c r="I28" s="81">
        <f>((E28*2+F28*(ТаблицаКорпус[[#This Row],[Кол-во полок]]+1))*G28+F28*(140+1000+500))/1000000*$O$1+$P$1*2</f>
        <v>7517.76</v>
      </c>
      <c r="J28" s="82">
        <v>0</v>
      </c>
      <c r="K28" s="83">
        <f t="shared" ref="K28" si="5">I28*J28</f>
        <v>0</v>
      </c>
      <c r="L28" s="84"/>
      <c r="M28" s="85" t="s">
        <v>204</v>
      </c>
      <c r="N28" s="86"/>
      <c r="O28" s="76">
        <v>2</v>
      </c>
      <c r="P28" s="76">
        <f>ТаблицаКорпус[[#This Row],[Высота]]/2-30</f>
        <v>360</v>
      </c>
      <c r="Q28" s="76">
        <f>ТаблицаКорпус[[#This Row],[Ширина]]-3</f>
        <v>597</v>
      </c>
      <c r="R28" s="76">
        <f>ТаблицаКорпус[[#This Row],[Высота]]/2-30</f>
        <v>360</v>
      </c>
      <c r="S28" s="76">
        <f>ТаблицаКорпус[[#This Row],[Ширина]]-3</f>
        <v>597</v>
      </c>
      <c r="T28" s="76"/>
      <c r="U28" s="76"/>
      <c r="V28" s="76"/>
      <c r="W28" s="76"/>
      <c r="X28" s="76"/>
    </row>
    <row r="29" spans="2:24" ht="154.15" customHeight="1">
      <c r="B29" s="77"/>
      <c r="C29" s="78"/>
      <c r="D29" s="79" t="s">
        <v>25</v>
      </c>
      <c r="E29" s="80">
        <v>780</v>
      </c>
      <c r="F29" s="80">
        <v>600</v>
      </c>
      <c r="G29" s="80">
        <v>580</v>
      </c>
      <c r="H29" s="80">
        <v>0</v>
      </c>
      <c r="I29" s="81">
        <f>((E29*2+F29*(ТаблицаКорпус[[#This Row],[Кол-во полок]]+1))*G29+F29*(140+1000+500))/1000000*$O$1+$P$1*2</f>
        <v>7517.76</v>
      </c>
      <c r="J29" s="82">
        <v>0</v>
      </c>
      <c r="K29" s="83">
        <f t="shared" si="0"/>
        <v>0</v>
      </c>
      <c r="L29" s="84"/>
      <c r="M29" s="85" t="s">
        <v>204</v>
      </c>
      <c r="N29" s="86"/>
      <c r="O29" s="76">
        <v>2</v>
      </c>
      <c r="P29" s="76">
        <f>ТаблицаКорпус[[#This Row],[Высота]]/2-30</f>
        <v>360</v>
      </c>
      <c r="Q29" s="76">
        <f>ТаблицаКорпус[[#This Row],[Ширина]]-3</f>
        <v>597</v>
      </c>
      <c r="R29" s="76">
        <f>ТаблицаКорпус[[#This Row],[Высота]]/2-30</f>
        <v>360</v>
      </c>
      <c r="S29" s="76">
        <f>ТаблицаКорпус[[#This Row],[Ширина]]-3</f>
        <v>597</v>
      </c>
      <c r="T29" s="76"/>
      <c r="U29" s="76"/>
      <c r="V29" s="76"/>
      <c r="W29" s="76"/>
      <c r="X29" s="76"/>
    </row>
    <row r="30" spans="2:24" ht="154.15" customHeight="1">
      <c r="B30" s="77"/>
      <c r="C30" s="78"/>
      <c r="D30" s="79" t="s">
        <v>26</v>
      </c>
      <c r="E30" s="80">
        <v>780</v>
      </c>
      <c r="F30" s="80">
        <v>600</v>
      </c>
      <c r="G30" s="80">
        <v>580</v>
      </c>
      <c r="H30" s="80">
        <v>0</v>
      </c>
      <c r="I30" s="81">
        <f>((E30*2+F30*(ТаблицаКорпус[[#This Row],[Кол-во полок]]+1))*G30+F30*(140+1500+450))/1000000*$O$1+$P$1*2</f>
        <v>8381.76</v>
      </c>
      <c r="J30" s="82">
        <v>0</v>
      </c>
      <c r="K30" s="83">
        <f t="shared" ref="K30" si="6">I30*J30</f>
        <v>0</v>
      </c>
      <c r="L30" s="84"/>
      <c r="M30" s="85" t="s">
        <v>205</v>
      </c>
      <c r="N30" s="86"/>
      <c r="O30" s="76">
        <v>2</v>
      </c>
      <c r="P30" s="76">
        <f>ТаблицаКорпус[[#This Row],[Высота]]/2-30</f>
        <v>360</v>
      </c>
      <c r="Q30" s="76">
        <f>ТаблицаКорпус[[#This Row],[Ширина]]-3</f>
        <v>597</v>
      </c>
      <c r="R30" s="76">
        <f>ТаблицаКорпус[[#This Row],[Высота]]/2-30</f>
        <v>360</v>
      </c>
      <c r="S30" s="76">
        <f>ТаблицаКорпус[[#This Row],[Ширина]]-3</f>
        <v>597</v>
      </c>
      <c r="T30" s="76"/>
      <c r="U30" s="76"/>
      <c r="V30" s="76"/>
      <c r="W30" s="76"/>
      <c r="X30" s="76"/>
    </row>
    <row r="31" spans="2:24" ht="154.15" customHeight="1">
      <c r="B31" s="77"/>
      <c r="C31" s="78"/>
      <c r="D31" s="79" t="s">
        <v>26</v>
      </c>
      <c r="E31" s="80">
        <v>780</v>
      </c>
      <c r="F31" s="80">
        <v>600</v>
      </c>
      <c r="G31" s="80">
        <v>580</v>
      </c>
      <c r="H31" s="80">
        <v>0</v>
      </c>
      <c r="I31" s="81">
        <f>((E31*2+F31*(ТаблицаКорпус[[#This Row],[Кол-во полок]]+1))*G31+F31*(140+1500+450))/1000000*$O$1+$P$1*2</f>
        <v>8381.76</v>
      </c>
      <c r="J31" s="82">
        <v>0</v>
      </c>
      <c r="K31" s="83">
        <f t="shared" ref="K31" si="7">I31*J31</f>
        <v>0</v>
      </c>
      <c r="L31" s="84"/>
      <c r="M31" s="85" t="s">
        <v>205</v>
      </c>
      <c r="N31" s="86"/>
      <c r="O31" s="76">
        <v>2</v>
      </c>
      <c r="P31" s="76">
        <f>ТаблицаКорпус[[#This Row],[Высота]]/2-30</f>
        <v>360</v>
      </c>
      <c r="Q31" s="76">
        <f>ТаблицаКорпус[[#This Row],[Ширина]]-3</f>
        <v>597</v>
      </c>
      <c r="R31" s="76">
        <f>ТаблицаКорпус[[#This Row],[Высота]]/2-30</f>
        <v>360</v>
      </c>
      <c r="S31" s="76">
        <f>ТаблицаКорпус[[#This Row],[Ширина]]-3</f>
        <v>597</v>
      </c>
      <c r="T31" s="76"/>
      <c r="U31" s="76"/>
      <c r="V31" s="76"/>
      <c r="W31" s="76"/>
      <c r="X31" s="76"/>
    </row>
    <row r="32" spans="2:24" ht="154.15" customHeight="1">
      <c r="B32" s="77"/>
      <c r="C32" s="78"/>
      <c r="D32" s="79" t="s">
        <v>26</v>
      </c>
      <c r="E32" s="80">
        <v>780</v>
      </c>
      <c r="F32" s="80">
        <v>600</v>
      </c>
      <c r="G32" s="80">
        <v>580</v>
      </c>
      <c r="H32" s="80">
        <v>0</v>
      </c>
      <c r="I32" s="81">
        <f>((E32*2+F32*(ТаблицаКорпус[[#This Row],[Кол-во полок]]+1))*G32+F32*(140+1500+450))/1000000*$O$1+$P$1*2</f>
        <v>8381.76</v>
      </c>
      <c r="J32" s="82">
        <v>0</v>
      </c>
      <c r="K32" s="83">
        <f t="shared" si="0"/>
        <v>0</v>
      </c>
      <c r="L32" s="84"/>
      <c r="M32" s="85" t="s">
        <v>205</v>
      </c>
      <c r="N32" s="86"/>
      <c r="O32" s="76">
        <v>2</v>
      </c>
      <c r="P32" s="76">
        <f>ТаблицаКорпус[[#This Row],[Высота]]/2-30</f>
        <v>360</v>
      </c>
      <c r="Q32" s="76">
        <f>ТаблицаКорпус[[#This Row],[Ширина]]-3</f>
        <v>597</v>
      </c>
      <c r="R32" s="76">
        <f>ТаблицаКорпус[[#This Row],[Высота]]/2-30</f>
        <v>360</v>
      </c>
      <c r="S32" s="76">
        <f>ТаблицаКорпус[[#This Row],[Ширина]]-3</f>
        <v>597</v>
      </c>
      <c r="T32" s="76"/>
      <c r="U32" s="76"/>
      <c r="V32" s="76"/>
      <c r="W32" s="76"/>
      <c r="X32" s="76"/>
    </row>
    <row r="33" spans="1:24" ht="154.15" customHeight="1">
      <c r="B33" s="77"/>
      <c r="C33" s="78"/>
      <c r="D33" s="79" t="s">
        <v>27</v>
      </c>
      <c r="E33" s="80">
        <v>780</v>
      </c>
      <c r="F33" s="80">
        <v>600</v>
      </c>
      <c r="G33" s="80">
        <v>580</v>
      </c>
      <c r="H33" s="80">
        <v>0</v>
      </c>
      <c r="I33" s="81">
        <f>((E33*2+F33*(ТаблицаКорпус[[#This Row],[Кол-во полок]]+1))*G33+F33*(140+1000+500))/1000000*$O$1+$P$1*2</f>
        <v>7517.76</v>
      </c>
      <c r="J33" s="82">
        <v>0</v>
      </c>
      <c r="K33" s="83">
        <f t="shared" si="0"/>
        <v>0</v>
      </c>
      <c r="L33" s="84"/>
      <c r="M33" s="85" t="s">
        <v>206</v>
      </c>
      <c r="N33" s="86"/>
      <c r="O33" s="76">
        <v>2</v>
      </c>
      <c r="P33" s="76">
        <f>(ТаблицаКорпус[[#This Row],[Высота]]-30-3)/2</f>
        <v>373.5</v>
      </c>
      <c r="Q33" s="76">
        <f>ТаблицаКорпус[[#This Row],[Ширина]]-3</f>
        <v>597</v>
      </c>
      <c r="R33" s="76">
        <f>ТаблицаКорпус[[#This Row],[Фасад 1 Высота]]</f>
        <v>373.5</v>
      </c>
      <c r="S33" s="76">
        <f>ТаблицаКорпус[[#This Row],[Ширина]]-3</f>
        <v>597</v>
      </c>
      <c r="T33" s="76"/>
      <c r="U33" s="76"/>
      <c r="V33" s="76"/>
      <c r="W33" s="76"/>
      <c r="X33" s="76"/>
    </row>
    <row r="34" spans="1:24" ht="154.15" customHeight="1">
      <c r="B34" s="77"/>
      <c r="C34" s="78"/>
      <c r="D34" s="79" t="s">
        <v>28</v>
      </c>
      <c r="E34" s="80">
        <v>780</v>
      </c>
      <c r="F34" s="80">
        <v>600</v>
      </c>
      <c r="G34" s="80">
        <v>580</v>
      </c>
      <c r="H34" s="80">
        <v>0</v>
      </c>
      <c r="I34" s="81">
        <f>((E34*2+F34*(ТаблицаКорпус[[#This Row],[Кол-во полок]]+1))*G34+F34*(100+1500+450))/1000000*$O$1+$P$1*2</f>
        <v>8304.9599999999991</v>
      </c>
      <c r="J34" s="82">
        <v>0</v>
      </c>
      <c r="K34" s="83">
        <f t="shared" si="0"/>
        <v>0</v>
      </c>
      <c r="L34" s="84"/>
      <c r="M34" s="85" t="s">
        <v>207</v>
      </c>
      <c r="N34" s="86"/>
      <c r="O34" s="76">
        <v>2</v>
      </c>
      <c r="P34" s="76">
        <f>ТаблицаКорпус[[#This Row],[Высота]]/2-30</f>
        <v>360</v>
      </c>
      <c r="Q34" s="76">
        <f>ТаблицаКорпус[[#This Row],[Ширина]]-3</f>
        <v>597</v>
      </c>
      <c r="R34" s="76">
        <f>ТаблицаКорпус[[#This Row],[Высота]]/2-30</f>
        <v>360</v>
      </c>
      <c r="S34" s="76">
        <f>ТаблицаКорпус[[#This Row],[Ширина]]-3</f>
        <v>597</v>
      </c>
      <c r="T34" s="76"/>
      <c r="U34" s="76"/>
      <c r="V34" s="76"/>
      <c r="W34" s="76"/>
      <c r="X34" s="76"/>
    </row>
    <row r="35" spans="1:24" ht="154.15" customHeight="1">
      <c r="B35" s="77"/>
      <c r="C35" s="78"/>
      <c r="D35" s="79" t="s">
        <v>29</v>
      </c>
      <c r="E35" s="80">
        <v>780</v>
      </c>
      <c r="F35" s="80">
        <v>600</v>
      </c>
      <c r="G35" s="80">
        <v>580</v>
      </c>
      <c r="H35" s="80">
        <v>0</v>
      </c>
      <c r="I35" s="81">
        <f>((E35*2+F35*(ТаблицаКорпус[[#This Row],[Кол-во полок]]+1))*G35+F35*(140+1500+450))/1000000*$O$1+$P$1*2</f>
        <v>8381.76</v>
      </c>
      <c r="J35" s="82">
        <v>0</v>
      </c>
      <c r="K35" s="83">
        <f t="shared" ref="K35" si="8">I35*J35</f>
        <v>0</v>
      </c>
      <c r="L35" s="84"/>
      <c r="M35" s="85" t="s">
        <v>208</v>
      </c>
      <c r="N35" s="86"/>
      <c r="O35" s="76">
        <v>4</v>
      </c>
      <c r="P35" s="76">
        <f>(ТаблицаКорпус[[#This Row],[Высота]]/2-30-3)/2</f>
        <v>178.5</v>
      </c>
      <c r="Q35" s="76">
        <f>ТаблицаКорпус[[#This Row],[Ширина]]-3</f>
        <v>597</v>
      </c>
      <c r="R35" s="76">
        <f>ТаблицаКорпус[[#This Row],[Фасад 1 Высота]]</f>
        <v>178.5</v>
      </c>
      <c r="S35" s="76">
        <f>ТаблицаКорпус[[#This Row],[Ширина]]-3</f>
        <v>597</v>
      </c>
      <c r="T35" s="76">
        <f>ТаблицаКорпус[[#This Row],[Высота]]/2-30</f>
        <v>360</v>
      </c>
      <c r="U35" s="76">
        <f>ТаблицаКорпус[[#This Row],[Ширина]]-3</f>
        <v>597</v>
      </c>
      <c r="V35" s="76"/>
      <c r="W35" s="76"/>
      <c r="X35" s="76"/>
    </row>
    <row r="36" spans="1:24" ht="154.15" customHeight="1">
      <c r="B36" s="77"/>
      <c r="C36" s="78"/>
      <c r="D36" s="79" t="s">
        <v>29</v>
      </c>
      <c r="E36" s="80">
        <v>780</v>
      </c>
      <c r="F36" s="80">
        <v>600</v>
      </c>
      <c r="G36" s="80">
        <v>580</v>
      </c>
      <c r="H36" s="80">
        <v>0</v>
      </c>
      <c r="I36" s="81">
        <f>((E36*2+F36*(ТаблицаКорпус[[#This Row],[Кол-во полок]]+1))*G36+F36*(140+1500+450))/1000000*$O$1+$P$1*2</f>
        <v>8381.76</v>
      </c>
      <c r="J36" s="82">
        <v>0</v>
      </c>
      <c r="K36" s="83">
        <f t="shared" ref="K36" si="9">I36*J36</f>
        <v>0</v>
      </c>
      <c r="L36" s="84"/>
      <c r="M36" s="85" t="s">
        <v>208</v>
      </c>
      <c r="N36" s="86"/>
      <c r="O36" s="76">
        <v>4</v>
      </c>
      <c r="P36" s="76">
        <f>(ТаблицаКорпус[[#This Row],[Высота]]/2-30-3)/2</f>
        <v>178.5</v>
      </c>
      <c r="Q36" s="76">
        <f>ТаблицаКорпус[[#This Row],[Ширина]]-3</f>
        <v>597</v>
      </c>
      <c r="R36" s="76">
        <f>ТаблицаКорпус[[#This Row],[Фасад 1 Высота]]</f>
        <v>178.5</v>
      </c>
      <c r="S36" s="76">
        <f>ТаблицаКорпус[[#This Row],[Ширина]]-3</f>
        <v>597</v>
      </c>
      <c r="T36" s="76">
        <f>ТаблицаКорпус[[#This Row],[Высота]]/2-30</f>
        <v>360</v>
      </c>
      <c r="U36" s="76">
        <f>ТаблицаКорпус[[#This Row],[Ширина]]-3</f>
        <v>597</v>
      </c>
      <c r="V36" s="76"/>
      <c r="W36" s="76"/>
      <c r="X36" s="76"/>
    </row>
    <row r="37" spans="1:24" ht="154.15" customHeight="1">
      <c r="B37" s="77"/>
      <c r="C37" s="78"/>
      <c r="D37" s="79" t="s">
        <v>29</v>
      </c>
      <c r="E37" s="80">
        <v>780</v>
      </c>
      <c r="F37" s="80">
        <v>600</v>
      </c>
      <c r="G37" s="80">
        <v>580</v>
      </c>
      <c r="H37" s="80">
        <v>0</v>
      </c>
      <c r="I37" s="81">
        <f>((E37*2+F37*(ТаблицаКорпус[[#This Row],[Кол-во полок]]+1))*G37+F37*(140+1500+450))/1000000*$O$1+$P$1*2</f>
        <v>8381.76</v>
      </c>
      <c r="J37" s="82">
        <v>0</v>
      </c>
      <c r="K37" s="83">
        <f t="shared" si="0"/>
        <v>0</v>
      </c>
      <c r="L37" s="84"/>
      <c r="M37" s="85" t="s">
        <v>208</v>
      </c>
      <c r="N37" s="86"/>
      <c r="O37" s="76">
        <v>4</v>
      </c>
      <c r="P37" s="76">
        <f>(ТаблицаКорпус[[#This Row],[Высота]]/2-30-3)/2</f>
        <v>178.5</v>
      </c>
      <c r="Q37" s="76">
        <f>ТаблицаКорпус[[#This Row],[Ширина]]-3</f>
        <v>597</v>
      </c>
      <c r="R37" s="76">
        <f>ТаблицаКорпус[[#This Row],[Фасад 1 Высота]]</f>
        <v>178.5</v>
      </c>
      <c r="S37" s="76">
        <f>ТаблицаКорпус[[#This Row],[Ширина]]-3</f>
        <v>597</v>
      </c>
      <c r="T37" s="76">
        <f>ТаблицаКорпус[[#This Row],[Высота]]/2-30</f>
        <v>360</v>
      </c>
      <c r="U37" s="76">
        <f>ТаблицаКорпус[[#This Row],[Ширина]]-3</f>
        <v>597</v>
      </c>
      <c r="V37" s="76"/>
      <c r="W37" s="76"/>
      <c r="X37" s="76"/>
    </row>
    <row r="38" spans="1:24" ht="154.15" customHeight="1">
      <c r="B38" s="77"/>
      <c r="C38" s="78"/>
      <c r="D38" s="79" t="s">
        <v>178</v>
      </c>
      <c r="E38" s="80">
        <v>780</v>
      </c>
      <c r="F38" s="80">
        <v>450</v>
      </c>
      <c r="G38" s="80">
        <v>580</v>
      </c>
      <c r="H38" s="80">
        <v>0</v>
      </c>
      <c r="I38" s="81">
        <f>0</f>
        <v>0</v>
      </c>
      <c r="J38" s="82">
        <v>0</v>
      </c>
      <c r="K38" s="83">
        <f t="shared" ref="K38" si="10">I38*J38</f>
        <v>0</v>
      </c>
      <c r="L38" s="84" t="s">
        <v>179</v>
      </c>
      <c r="M38" s="85" t="s">
        <v>209</v>
      </c>
      <c r="N38" s="86"/>
      <c r="O38" s="76">
        <v>1</v>
      </c>
      <c r="P38" s="76">
        <f>ТаблицаКорпус[[#This Row],[Высота]]-30</f>
        <v>750</v>
      </c>
      <c r="Q38" s="76">
        <f>ТаблицаКорпус[[#This Row],[Ширина]]-3</f>
        <v>447</v>
      </c>
      <c r="R38" s="76"/>
      <c r="S38" s="76"/>
      <c r="T38" s="76"/>
      <c r="U38" s="76"/>
      <c r="V38" s="76"/>
      <c r="W38" s="76"/>
      <c r="X38" s="76"/>
    </row>
    <row r="39" spans="1:24" ht="154.15" customHeight="1">
      <c r="B39" s="77"/>
      <c r="C39" s="78"/>
      <c r="D39" s="79" t="s">
        <v>178</v>
      </c>
      <c r="E39" s="80">
        <v>780</v>
      </c>
      <c r="F39" s="80">
        <v>450</v>
      </c>
      <c r="G39" s="80">
        <v>580</v>
      </c>
      <c r="H39" s="80">
        <v>0</v>
      </c>
      <c r="I39" s="81">
        <f>0</f>
        <v>0</v>
      </c>
      <c r="J39" s="82">
        <v>0</v>
      </c>
      <c r="K39" s="83">
        <f t="shared" si="0"/>
        <v>0</v>
      </c>
      <c r="L39" s="84" t="s">
        <v>179</v>
      </c>
      <c r="M39" s="85" t="s">
        <v>209</v>
      </c>
      <c r="N39" s="86"/>
      <c r="O39" s="76">
        <v>1</v>
      </c>
      <c r="P39" s="76">
        <f>ТаблицаКорпус[[#This Row],[Высота]]-30</f>
        <v>750</v>
      </c>
      <c r="Q39" s="76">
        <f>ТаблицаКорпус[[#This Row],[Ширина]]-3</f>
        <v>447</v>
      </c>
      <c r="R39" s="76"/>
      <c r="S39" s="76"/>
      <c r="T39" s="76"/>
      <c r="U39" s="76"/>
      <c r="V39" s="76"/>
      <c r="W39" s="76"/>
      <c r="X39" s="76"/>
    </row>
    <row r="40" spans="1:24">
      <c r="A40" s="70" t="s">
        <v>32</v>
      </c>
      <c r="B40" s="88"/>
      <c r="C40" s="72"/>
      <c r="D40" s="72"/>
      <c r="E40" s="89"/>
      <c r="F40" s="89"/>
      <c r="G40" s="89"/>
      <c r="H40" s="90"/>
      <c r="I40" s="74"/>
      <c r="J40" s="89"/>
      <c r="K40" s="75"/>
      <c r="L40" s="91"/>
      <c r="M40" s="91"/>
      <c r="N40" s="92"/>
      <c r="O40" s="76"/>
      <c r="P40" s="76">
        <f>ТаблицаКорпус[[#This Row],[Высота]]-3</f>
        <v>-3</v>
      </c>
      <c r="Q40" s="76"/>
      <c r="R40" s="76">
        <f>ТаблицаКорпус[[#This Row],[Фасад 1 Высота]]</f>
        <v>-3</v>
      </c>
      <c r="S40" s="76"/>
      <c r="T40" s="76">
        <f>ТаблицаКорпус[[#This Row],[Фасад 1 Высота]]</f>
        <v>-3</v>
      </c>
      <c r="U40" s="76"/>
      <c r="V40" s="76">
        <f>ТаблицаКорпус[[#This Row],[Фасад 1 Высота]]</f>
        <v>-3</v>
      </c>
      <c r="W40" s="76"/>
      <c r="X40" s="76"/>
    </row>
    <row r="41" spans="1:24" ht="154.15" customHeight="1">
      <c r="B41" s="77"/>
      <c r="C41" s="78"/>
      <c r="D41" s="79" t="s">
        <v>34</v>
      </c>
      <c r="E41" s="80">
        <v>720</v>
      </c>
      <c r="F41" s="80">
        <v>1050</v>
      </c>
      <c r="G41" s="80">
        <v>560</v>
      </c>
      <c r="H41" s="80">
        <v>0</v>
      </c>
      <c r="I41" s="81">
        <f>((E41*2+F41*(ТаблицаКорпус[[#This Row],[Кол-во полок]]+1))*G41+E41*600+F41*(100+70))/1000000*$O$1</f>
        <v>6415.68</v>
      </c>
      <c r="J41" s="82">
        <v>0</v>
      </c>
      <c r="K41" s="83">
        <f t="shared" ref="K41:K90" si="11">I41*J41</f>
        <v>0</v>
      </c>
      <c r="L41" s="84" t="s">
        <v>481</v>
      </c>
      <c r="M41" s="85" t="s">
        <v>210</v>
      </c>
      <c r="N41" s="86"/>
      <c r="O41" s="76">
        <v>1</v>
      </c>
      <c r="P41" s="76">
        <f>ТаблицаКорпус[[#This Row],[Высота]]-3</f>
        <v>717</v>
      </c>
      <c r="Q41" s="76">
        <f>ТаблицаКорпус[[#This Row],[Ширина]]-ТаблицаКорпус[[#This Row],[Глубина]]-20-3</f>
        <v>467</v>
      </c>
      <c r="R41" s="76"/>
      <c r="S41" s="76"/>
      <c r="T41" s="76"/>
      <c r="U41" s="76"/>
      <c r="V41" s="76"/>
      <c r="W41" s="76"/>
      <c r="X41" s="76"/>
    </row>
    <row r="42" spans="1:24" ht="154.15" customHeight="1">
      <c r="B42" s="77"/>
      <c r="C42" s="78"/>
      <c r="D42" s="79" t="s">
        <v>35</v>
      </c>
      <c r="E42" s="80">
        <v>720</v>
      </c>
      <c r="F42" s="80">
        <v>1050</v>
      </c>
      <c r="G42" s="80">
        <v>560</v>
      </c>
      <c r="H42" s="80">
        <v>0</v>
      </c>
      <c r="I42" s="81">
        <f>((E42*2+F42*(ТаблицаКорпус[[#This Row],[Кол-во полок]]+1))*G42+E42*600+F42*(100+70))/1000000*$O$1</f>
        <v>6415.68</v>
      </c>
      <c r="J42" s="82">
        <v>0</v>
      </c>
      <c r="K42" s="83">
        <f t="shared" si="11"/>
        <v>0</v>
      </c>
      <c r="L42" s="84" t="s">
        <v>479</v>
      </c>
      <c r="M42" s="85" t="s">
        <v>211</v>
      </c>
      <c r="N42" s="86"/>
      <c r="O42" s="76">
        <v>2</v>
      </c>
      <c r="P42" s="76">
        <f>ТаблицаКорпус[[#This Row],[Высота]]-3</f>
        <v>717</v>
      </c>
      <c r="Q42" s="76">
        <f>ТаблицаКорпус[[#This Row],[Ширина]]-ТаблицаКорпус[[#This Row],[Глубина]]-40-3</f>
        <v>447</v>
      </c>
      <c r="R42" s="76">
        <f>ТаблицаКорпус[[#This Row],[Фасад 1 Высота]]</f>
        <v>717</v>
      </c>
      <c r="S42" s="76">
        <v>70</v>
      </c>
      <c r="T42" s="76"/>
      <c r="U42" s="76"/>
      <c r="V42" s="76"/>
      <c r="W42" s="76"/>
      <c r="X42" s="76"/>
    </row>
    <row r="43" spans="1:24" ht="154.15" customHeight="1">
      <c r="B43" s="77"/>
      <c r="C43" s="78"/>
      <c r="D43" s="79" t="s">
        <v>36</v>
      </c>
      <c r="E43" s="80">
        <v>720</v>
      </c>
      <c r="F43" s="80">
        <v>1050</v>
      </c>
      <c r="G43" s="80">
        <v>560</v>
      </c>
      <c r="H43" s="80">
        <v>0</v>
      </c>
      <c r="I43" s="81">
        <f>((E43*2+F43*(ТаблицаКорпус[[#This Row],[Кол-во полок]]+1))*G43+E43*600+F43*(100+70))/1000000*$O$1</f>
        <v>6415.68</v>
      </c>
      <c r="J43" s="82">
        <v>0</v>
      </c>
      <c r="K43" s="83">
        <f t="shared" si="11"/>
        <v>0</v>
      </c>
      <c r="L43" s="84" t="s">
        <v>479</v>
      </c>
      <c r="M43" s="85" t="s">
        <v>212</v>
      </c>
      <c r="N43" s="86"/>
      <c r="O43" s="76">
        <v>3</v>
      </c>
      <c r="P43" s="76">
        <f>ТаблицаКорпус[[#This Row],[Высота]]-3</f>
        <v>717</v>
      </c>
      <c r="Q43" s="76">
        <f>ТаблицаКорпус[[#This Row],[Ширина]]-ТаблицаКорпус[[#This Row],[Глубина]]-40-3</f>
        <v>447</v>
      </c>
      <c r="R43" s="76">
        <f>ТаблицаКорпус[[#This Row],[Фасад 1 Высота]]</f>
        <v>717</v>
      </c>
      <c r="S43" s="76">
        <v>70</v>
      </c>
      <c r="T43" s="76">
        <f>ТаблицаКорпус[[#This Row],[Фасад 1 Высота]]</f>
        <v>717</v>
      </c>
      <c r="U43" s="76">
        <v>20</v>
      </c>
      <c r="V43" s="76"/>
      <c r="W43" s="76"/>
      <c r="X43" s="76"/>
    </row>
    <row r="44" spans="1:24" ht="154.15" customHeight="1">
      <c r="B44" s="77"/>
      <c r="C44" s="78"/>
      <c r="D44" s="79" t="s">
        <v>37</v>
      </c>
      <c r="E44" s="80">
        <v>720</v>
      </c>
      <c r="F44" s="80">
        <v>1050</v>
      </c>
      <c r="G44" s="80">
        <v>560</v>
      </c>
      <c r="H44" s="80">
        <v>1</v>
      </c>
      <c r="I44" s="81">
        <f>((E44*2+F44*(ТаблицаКорпус[[#This Row],[Кол-во полок]]+1))*G44+E44*600+F44*(100+70))/1000000*$O$1</f>
        <v>8297.2800000000007</v>
      </c>
      <c r="J44" s="82">
        <v>0</v>
      </c>
      <c r="K44" s="83">
        <f t="shared" si="11"/>
        <v>0</v>
      </c>
      <c r="L44" s="84" t="s">
        <v>479</v>
      </c>
      <c r="M44" s="85" t="s">
        <v>213</v>
      </c>
      <c r="N44" s="86"/>
      <c r="O44" s="76">
        <v>3</v>
      </c>
      <c r="P44" s="76">
        <f>ТаблицаКорпус[[#This Row],[Высота]]-3</f>
        <v>717</v>
      </c>
      <c r="Q44" s="76">
        <f>ТаблицаКорпус[[#This Row],[Ширина]]-ТаблицаКорпус[[#This Row],[Глубина]]-40-3</f>
        <v>447</v>
      </c>
      <c r="R44" s="76">
        <f>ТаблицаКорпус[[#This Row],[Фасад 1 Высота]]</f>
        <v>717</v>
      </c>
      <c r="S44" s="76">
        <v>70</v>
      </c>
      <c r="T44" s="76">
        <f>ТаблицаКорпус[[#This Row],[Фасад 1 Высота]]</f>
        <v>717</v>
      </c>
      <c r="U44" s="76">
        <v>20</v>
      </c>
      <c r="V44" s="76"/>
      <c r="W44" s="76"/>
      <c r="X44" s="76"/>
    </row>
    <row r="45" spans="1:24" ht="154.15" customHeight="1">
      <c r="B45" s="77"/>
      <c r="C45" s="78"/>
      <c r="D45" s="79" t="s">
        <v>38</v>
      </c>
      <c r="E45" s="80">
        <v>720</v>
      </c>
      <c r="F45" s="80">
        <v>1050</v>
      </c>
      <c r="G45" s="80">
        <v>560</v>
      </c>
      <c r="H45" s="80">
        <v>1</v>
      </c>
      <c r="I45" s="81">
        <f>((E45*2+F45*(ТаблицаКорпус[[#This Row],[Кол-во полок]]+1))*G45+E45*600+F45*70*2)/1000000*$O$1</f>
        <v>8196.48</v>
      </c>
      <c r="J45" s="82">
        <v>0</v>
      </c>
      <c r="K45" s="83">
        <f t="shared" si="11"/>
        <v>0</v>
      </c>
      <c r="L45" s="84" t="s">
        <v>481</v>
      </c>
      <c r="M45" s="85" t="s">
        <v>214</v>
      </c>
      <c r="N45" s="86"/>
      <c r="O45" s="76">
        <v>1</v>
      </c>
      <c r="P45" s="76">
        <f>ТаблицаКорпус[[#This Row],[Высота]]-3</f>
        <v>717</v>
      </c>
      <c r="Q45" s="76">
        <f>ТаблицаКорпус[[#This Row],[Ширина]]-ТаблицаКорпус[[#This Row],[Глубина]]-20-3</f>
        <v>467</v>
      </c>
      <c r="R45" s="76"/>
      <c r="S45" s="76"/>
      <c r="T45" s="76"/>
      <c r="U45" s="76"/>
      <c r="V45" s="76"/>
      <c r="W45" s="76"/>
      <c r="X45" s="76"/>
    </row>
    <row r="46" spans="1:24" ht="154.15" customHeight="1">
      <c r="B46" s="77"/>
      <c r="C46" s="78"/>
      <c r="D46" s="79" t="s">
        <v>39</v>
      </c>
      <c r="E46" s="80">
        <v>720</v>
      </c>
      <c r="F46" s="80">
        <v>1050</v>
      </c>
      <c r="G46" s="80">
        <v>560</v>
      </c>
      <c r="H46" s="80">
        <v>1</v>
      </c>
      <c r="I46" s="81">
        <f>((E46*2+F46*(ТаблицаКорпус[[#This Row],[Кол-во полок]]+1))*G46+E46*600+F46*70*2)/1000000*$O$1</f>
        <v>8196.48</v>
      </c>
      <c r="J46" s="82">
        <v>0</v>
      </c>
      <c r="K46" s="83">
        <f t="shared" si="11"/>
        <v>0</v>
      </c>
      <c r="L46" s="84" t="s">
        <v>479</v>
      </c>
      <c r="M46" s="85" t="s">
        <v>215</v>
      </c>
      <c r="N46" s="86"/>
      <c r="O46" s="76">
        <v>2</v>
      </c>
      <c r="P46" s="76">
        <f>ТаблицаКорпус[[#This Row],[Высота]]-3</f>
        <v>717</v>
      </c>
      <c r="Q46" s="76">
        <f>ТаблицаКорпус[[#This Row],[Ширина]]-ТаблицаКорпус[[#This Row],[Глубина]]-40-3</f>
        <v>447</v>
      </c>
      <c r="R46" s="76">
        <f>ТаблицаКорпус[[#This Row],[Фасад 1 Высота]]</f>
        <v>717</v>
      </c>
      <c r="S46" s="76">
        <v>70</v>
      </c>
      <c r="T46" s="76"/>
      <c r="U46" s="76"/>
      <c r="V46" s="76"/>
      <c r="W46" s="76"/>
      <c r="X46" s="76"/>
    </row>
    <row r="47" spans="1:24" ht="154.15" customHeight="1">
      <c r="B47" s="77"/>
      <c r="C47" s="78"/>
      <c r="D47" s="79" t="s">
        <v>40</v>
      </c>
      <c r="E47" s="80">
        <v>720</v>
      </c>
      <c r="F47" s="80">
        <v>1050</v>
      </c>
      <c r="G47" s="80">
        <v>560</v>
      </c>
      <c r="H47" s="80">
        <v>1</v>
      </c>
      <c r="I47" s="81">
        <f>((E47*2+F47*(ТаблицаКорпус[[#This Row],[Кол-во полок]]+1))*G47+E47*600+F47*70*2)/1000000*$O$1</f>
        <v>8196.48</v>
      </c>
      <c r="J47" s="82">
        <v>0</v>
      </c>
      <c r="K47" s="83">
        <f t="shared" si="11"/>
        <v>0</v>
      </c>
      <c r="L47" s="84" t="s">
        <v>479</v>
      </c>
      <c r="M47" s="85" t="s">
        <v>216</v>
      </c>
      <c r="N47" s="86"/>
      <c r="O47" s="76">
        <v>3</v>
      </c>
      <c r="P47" s="76">
        <f>ТаблицаКорпус[[#This Row],[Высота]]-3</f>
        <v>717</v>
      </c>
      <c r="Q47" s="76">
        <f>ТаблицаКорпус[[#This Row],[Ширина]]-ТаблицаКорпус[[#This Row],[Глубина]]-40-3</f>
        <v>447</v>
      </c>
      <c r="R47" s="76">
        <f>ТаблицаКорпус[[#This Row],[Фасад 1 Высота]]</f>
        <v>717</v>
      </c>
      <c r="S47" s="76">
        <v>70</v>
      </c>
      <c r="T47" s="76">
        <f>ТаблицаКорпус[[#This Row],[Фасад 1 Высота]]</f>
        <v>717</v>
      </c>
      <c r="U47" s="76">
        <v>20</v>
      </c>
      <c r="V47" s="76"/>
      <c r="W47" s="76"/>
      <c r="X47" s="76"/>
    </row>
    <row r="48" spans="1:24" ht="154.15" customHeight="1">
      <c r="B48" s="77"/>
      <c r="C48" s="78"/>
      <c r="D48" s="79" t="s">
        <v>41</v>
      </c>
      <c r="E48" s="80">
        <v>720</v>
      </c>
      <c r="F48" s="80">
        <v>1050</v>
      </c>
      <c r="G48" s="80">
        <v>560</v>
      </c>
      <c r="H48" s="80">
        <v>1</v>
      </c>
      <c r="I48" s="81">
        <f>((E48*2+F48*(ТаблицаКорпус[[#This Row],[Кол-во полок]]+1))*G48+E48*600+F48*70*2)/1000000*$O$1</f>
        <v>8196.48</v>
      </c>
      <c r="J48" s="82">
        <v>0</v>
      </c>
      <c r="K48" s="83">
        <f t="shared" si="11"/>
        <v>0</v>
      </c>
      <c r="L48" s="84" t="s">
        <v>479</v>
      </c>
      <c r="M48" s="85" t="s">
        <v>217</v>
      </c>
      <c r="N48" s="86"/>
      <c r="O48" s="76">
        <v>2</v>
      </c>
      <c r="P48" s="76">
        <f>ТаблицаКорпус[[#This Row],[Высота]]-3</f>
        <v>717</v>
      </c>
      <c r="Q48" s="76">
        <f>ТаблицаКорпус[[#This Row],[Ширина]]-ТаблицаКорпус[[#This Row],[Глубина]]-40-3</f>
        <v>447</v>
      </c>
      <c r="R48" s="76">
        <f>ТаблицаКорпус[[#This Row],[Фасад 1 Высота]]</f>
        <v>717</v>
      </c>
      <c r="S48" s="76">
        <v>70</v>
      </c>
      <c r="T48" s="76"/>
      <c r="U48" s="76"/>
      <c r="V48" s="76"/>
      <c r="W48" s="76"/>
      <c r="X48" s="76"/>
    </row>
    <row r="49" spans="2:24" ht="154.15" customHeight="1">
      <c r="B49" s="77"/>
      <c r="C49" s="78"/>
      <c r="D49" s="79" t="s">
        <v>44</v>
      </c>
      <c r="E49" s="80">
        <v>720</v>
      </c>
      <c r="F49" s="80">
        <v>1050</v>
      </c>
      <c r="G49" s="80">
        <v>560</v>
      </c>
      <c r="H49" s="80">
        <v>0</v>
      </c>
      <c r="I49" s="81">
        <f>((E49*2+F49*(ТаблицаКорпус[[#This Row],[Кол-во полок]]+1))*G49+E49*600+F49*70*2+(F49-600)*500*3+(F49-600)*550)/1000000*$O$1</f>
        <v>9266.880000000001</v>
      </c>
      <c r="J49" s="82">
        <v>0</v>
      </c>
      <c r="K49" s="83">
        <f t="shared" si="11"/>
        <v>0</v>
      </c>
      <c r="L49" s="84" t="s">
        <v>479</v>
      </c>
      <c r="M49" s="85" t="s">
        <v>218</v>
      </c>
      <c r="N49" s="86"/>
      <c r="O49" s="76">
        <v>3</v>
      </c>
      <c r="P49" s="76">
        <f>ТаблицаКорпус[[#This Row],[Высота]]-3</f>
        <v>717</v>
      </c>
      <c r="Q49" s="76">
        <f>ТаблицаКорпус[[#This Row],[Ширина]]-ТаблицаКорпус[[#This Row],[Глубина]]-40-3</f>
        <v>447</v>
      </c>
      <c r="R49" s="76">
        <f>ТаблицаКорпус[[#This Row],[Фасад 1 Высота]]</f>
        <v>717</v>
      </c>
      <c r="S49" s="76">
        <v>70</v>
      </c>
      <c r="T49" s="76">
        <f>ТаблицаКорпус[[#This Row],[Фасад 1 Высота]]</f>
        <v>717</v>
      </c>
      <c r="U49" s="76">
        <v>20</v>
      </c>
      <c r="V49" s="76"/>
      <c r="W49" s="76"/>
      <c r="X49" s="76"/>
    </row>
    <row r="50" spans="2:24" ht="154.15" customHeight="1">
      <c r="B50" s="77"/>
      <c r="C50" s="78"/>
      <c r="D50" s="79" t="s">
        <v>45</v>
      </c>
      <c r="E50" s="80">
        <v>720</v>
      </c>
      <c r="F50" s="80">
        <v>1050</v>
      </c>
      <c r="G50" s="80">
        <v>560</v>
      </c>
      <c r="H50" s="80">
        <v>0</v>
      </c>
      <c r="I50" s="81">
        <f>((E50*2+F50*(ТаблицаКорпус[[#This Row],[Кол-во полок]]+1))*G50+E50*600+F50*70*2+(F50-600)*500*3+(F50-600)*550)/1000000*$O$1</f>
        <v>9266.880000000001</v>
      </c>
      <c r="J50" s="82">
        <v>0</v>
      </c>
      <c r="K50" s="83">
        <f t="shared" si="11"/>
        <v>0</v>
      </c>
      <c r="L50" s="84" t="s">
        <v>479</v>
      </c>
      <c r="M50" s="85" t="s">
        <v>219</v>
      </c>
      <c r="N50" s="86"/>
      <c r="O50" s="76">
        <v>3</v>
      </c>
      <c r="P50" s="76">
        <f>ТаблицаКорпус[[#This Row],[Высота]]-3</f>
        <v>717</v>
      </c>
      <c r="Q50" s="76">
        <f>ТаблицаКорпус[[#This Row],[Ширина]]-ТаблицаКорпус[[#This Row],[Глубина]]-40-3</f>
        <v>447</v>
      </c>
      <c r="R50" s="76">
        <f>ТаблицаКорпус[[#This Row],[Фасад 1 Высота]]</f>
        <v>717</v>
      </c>
      <c r="S50" s="76">
        <v>70</v>
      </c>
      <c r="T50" s="76">
        <f>ТаблицаКорпус[[#This Row],[Фасад 1 Высота]]</f>
        <v>717</v>
      </c>
      <c r="U50" s="76">
        <v>20</v>
      </c>
      <c r="V50" s="76"/>
      <c r="W50" s="76"/>
      <c r="X50" s="76"/>
    </row>
    <row r="51" spans="2:24" ht="154.15" customHeight="1">
      <c r="B51" s="77"/>
      <c r="C51" s="78"/>
      <c r="D51" s="79" t="s">
        <v>42</v>
      </c>
      <c r="E51" s="80">
        <v>720</v>
      </c>
      <c r="F51" s="80">
        <v>600</v>
      </c>
      <c r="G51" s="80">
        <v>560</v>
      </c>
      <c r="H51" s="80">
        <v>0</v>
      </c>
      <c r="I51" s="81">
        <f>((E51*2+F51*(ТаблицаКорпус[[#This Row],[Кол-во полок]]+1))*G51+F51*(100+70))/1000000*$O$1</f>
        <v>3982.08</v>
      </c>
      <c r="J51" s="82">
        <v>0</v>
      </c>
      <c r="K51" s="83">
        <f t="shared" si="11"/>
        <v>0</v>
      </c>
      <c r="L51" s="84"/>
      <c r="M51" s="85" t="s">
        <v>220</v>
      </c>
      <c r="N51" s="86"/>
      <c r="O51" s="76">
        <v>2</v>
      </c>
      <c r="P51" s="76">
        <f>ТаблицаКорпус[[#This Row],[Высота]]-3</f>
        <v>717</v>
      </c>
      <c r="Q51" s="76">
        <f>ТаблицаКорпус[[#This Row],[Ширина]]-3</f>
        <v>597</v>
      </c>
      <c r="R51" s="76"/>
      <c r="S51" s="76"/>
      <c r="T51" s="76"/>
      <c r="U51" s="76"/>
      <c r="V51" s="76"/>
      <c r="W51" s="76"/>
      <c r="X51" s="76"/>
    </row>
    <row r="52" spans="2:24" ht="154.15" customHeight="1">
      <c r="B52" s="77"/>
      <c r="C52" s="78"/>
      <c r="D52" s="79" t="s">
        <v>42</v>
      </c>
      <c r="E52" s="80">
        <v>720</v>
      </c>
      <c r="F52" s="80">
        <v>600</v>
      </c>
      <c r="G52" s="80">
        <v>560</v>
      </c>
      <c r="H52" s="80">
        <v>0</v>
      </c>
      <c r="I52" s="81">
        <f>((E52*2+F52*(ТаблицаКорпус[[#This Row],[Кол-во полок]]+1))*G52+F52*(100+70))/1000000*$O$1</f>
        <v>3982.08</v>
      </c>
      <c r="J52" s="82">
        <v>0</v>
      </c>
      <c r="K52" s="83">
        <f t="shared" ref="K52" si="12">I52*J52</f>
        <v>0</v>
      </c>
      <c r="L52" s="84"/>
      <c r="M52" s="85" t="s">
        <v>220</v>
      </c>
      <c r="N52" s="86"/>
      <c r="O52" s="76">
        <v>2</v>
      </c>
      <c r="P52" s="76">
        <f>ТаблицаКорпус[[#This Row],[Высота]]-3</f>
        <v>717</v>
      </c>
      <c r="Q52" s="76">
        <f>ТаблицаКорпус[[#This Row],[Ширина]]-3</f>
        <v>597</v>
      </c>
      <c r="R52" s="76"/>
      <c r="S52" s="76"/>
      <c r="T52" s="76"/>
      <c r="U52" s="76"/>
      <c r="V52" s="76"/>
      <c r="W52" s="76"/>
      <c r="X52" s="76"/>
    </row>
    <row r="53" spans="2:24" ht="154.15" customHeight="1">
      <c r="B53" s="77"/>
      <c r="C53" s="78"/>
      <c r="D53" s="79" t="s">
        <v>42</v>
      </c>
      <c r="E53" s="80">
        <v>720</v>
      </c>
      <c r="F53" s="80">
        <v>600</v>
      </c>
      <c r="G53" s="80">
        <v>560</v>
      </c>
      <c r="H53" s="80">
        <v>0</v>
      </c>
      <c r="I53" s="81">
        <f>((E53*2+F53*(ТаблицаКорпус[[#This Row],[Кол-во полок]]+1))*G53+F53*(100+70))/1000000*$O$1</f>
        <v>3982.08</v>
      </c>
      <c r="J53" s="82">
        <v>0</v>
      </c>
      <c r="K53" s="83">
        <f t="shared" si="11"/>
        <v>0</v>
      </c>
      <c r="L53" s="84"/>
      <c r="M53" s="85" t="s">
        <v>220</v>
      </c>
      <c r="N53" s="86"/>
      <c r="O53" s="76">
        <v>2</v>
      </c>
      <c r="P53" s="76">
        <f>ТаблицаКорпус[[#This Row],[Высота]]-3</f>
        <v>717</v>
      </c>
      <c r="Q53" s="76">
        <f>ТаблицаКорпус[[#This Row],[Ширина]]-3</f>
        <v>597</v>
      </c>
      <c r="R53" s="76"/>
      <c r="S53" s="76"/>
      <c r="T53" s="76"/>
      <c r="U53" s="76"/>
      <c r="V53" s="76"/>
      <c r="W53" s="76"/>
      <c r="X53" s="76"/>
    </row>
    <row r="54" spans="2:24" ht="154.15" customHeight="1">
      <c r="B54" s="77"/>
      <c r="C54" s="78"/>
      <c r="D54" s="79" t="s">
        <v>43</v>
      </c>
      <c r="E54" s="80">
        <v>720</v>
      </c>
      <c r="F54" s="80">
        <v>900</v>
      </c>
      <c r="G54" s="80">
        <v>560</v>
      </c>
      <c r="H54" s="80">
        <v>0</v>
      </c>
      <c r="I54" s="81">
        <f>((E54*2+F54*(ТаблицаКорпус[[#This Row],[Кол-во полок]]+1))*G54+F54*(100+70))/1000000*$O$1</f>
        <v>4682.88</v>
      </c>
      <c r="J54" s="82">
        <v>0</v>
      </c>
      <c r="K54" s="83">
        <f t="shared" ref="K54" si="13">I54*J54</f>
        <v>0</v>
      </c>
      <c r="L54" s="84"/>
      <c r="M54" s="85" t="s">
        <v>221</v>
      </c>
      <c r="N54" s="86"/>
      <c r="O54" s="76">
        <v>2</v>
      </c>
      <c r="P54" s="76">
        <f>ТаблицаКорпус[[#This Row],[Высота]]-3</f>
        <v>717</v>
      </c>
      <c r="Q54" s="76">
        <f>ТаблицаКорпус[[#This Row],[Ширина]]/2-3</f>
        <v>447</v>
      </c>
      <c r="R54" s="76">
        <f>ТаблицаКорпус[[#This Row],[Фасад 1 Высота]]</f>
        <v>717</v>
      </c>
      <c r="S54" s="76">
        <f>ТаблицаКорпус[[#This Row],[Ширина]]/2-3</f>
        <v>447</v>
      </c>
      <c r="T54" s="76"/>
      <c r="U54" s="76"/>
      <c r="V54" s="76"/>
      <c r="W54" s="76"/>
      <c r="X54" s="76"/>
    </row>
    <row r="55" spans="2:24" ht="154.15" customHeight="1">
      <c r="B55" s="77"/>
      <c r="C55" s="78"/>
      <c r="D55" s="79" t="s">
        <v>43</v>
      </c>
      <c r="E55" s="80">
        <v>720</v>
      </c>
      <c r="F55" s="80">
        <v>900</v>
      </c>
      <c r="G55" s="80">
        <v>560</v>
      </c>
      <c r="H55" s="80">
        <v>0</v>
      </c>
      <c r="I55" s="81">
        <f>((E55*2+F55*(ТаблицаКорпус[[#This Row],[Кол-во полок]]+1))*G55+F55*(100+70))/1000000*$O$1</f>
        <v>4682.88</v>
      </c>
      <c r="J55" s="82">
        <v>0</v>
      </c>
      <c r="K55" s="83">
        <f t="shared" ref="K55" si="14">I55*J55</f>
        <v>0</v>
      </c>
      <c r="L55" s="84"/>
      <c r="M55" s="85" t="s">
        <v>221</v>
      </c>
      <c r="N55" s="86"/>
      <c r="O55" s="76">
        <v>2</v>
      </c>
      <c r="P55" s="76">
        <f>ТаблицаКорпус[[#This Row],[Высота]]-3</f>
        <v>717</v>
      </c>
      <c r="Q55" s="76">
        <f>ТаблицаКорпус[[#This Row],[Ширина]]/2-3</f>
        <v>447</v>
      </c>
      <c r="R55" s="76">
        <f>ТаблицаКорпус[[#This Row],[Фасад 1 Высота]]</f>
        <v>717</v>
      </c>
      <c r="S55" s="76">
        <f>ТаблицаКорпус[[#This Row],[Ширина]]/2-3</f>
        <v>447</v>
      </c>
      <c r="T55" s="76"/>
      <c r="U55" s="76"/>
      <c r="V55" s="76"/>
      <c r="W55" s="76"/>
      <c r="X55" s="76"/>
    </row>
    <row r="56" spans="2:24" ht="154.15" customHeight="1">
      <c r="B56" s="77"/>
      <c r="C56" s="78"/>
      <c r="D56" s="79" t="s">
        <v>43</v>
      </c>
      <c r="E56" s="80">
        <v>720</v>
      </c>
      <c r="F56" s="80">
        <v>900</v>
      </c>
      <c r="G56" s="80">
        <v>560</v>
      </c>
      <c r="H56" s="80">
        <v>0</v>
      </c>
      <c r="I56" s="81">
        <f>((E56*2+F56*(ТаблицаКорпус[[#This Row],[Кол-во полок]]+1))*G56+F56*(100+70))/1000000*$O$1</f>
        <v>4682.88</v>
      </c>
      <c r="J56" s="82">
        <v>0</v>
      </c>
      <c r="K56" s="83">
        <f t="shared" si="11"/>
        <v>0</v>
      </c>
      <c r="L56" s="84"/>
      <c r="M56" s="85" t="s">
        <v>221</v>
      </c>
      <c r="N56" s="86"/>
      <c r="O56" s="76">
        <v>2</v>
      </c>
      <c r="P56" s="76">
        <f>ТаблицаКорпус[[#This Row],[Высота]]-3</f>
        <v>717</v>
      </c>
      <c r="Q56" s="76">
        <f>ТаблицаКорпус[[#This Row],[Ширина]]/2-3</f>
        <v>447</v>
      </c>
      <c r="R56" s="76">
        <f>ТаблицаКорпус[[#This Row],[Фасад 1 Высота]]</f>
        <v>717</v>
      </c>
      <c r="S56" s="76">
        <f>ТаблицаКорпус[[#This Row],[Ширина]]/2-3</f>
        <v>447</v>
      </c>
      <c r="T56" s="76"/>
      <c r="U56" s="76"/>
      <c r="V56" s="76"/>
      <c r="W56" s="76"/>
      <c r="X56" s="76"/>
    </row>
    <row r="57" spans="2:24" ht="154.15" customHeight="1">
      <c r="B57" s="77"/>
      <c r="C57" s="78"/>
      <c r="D57" s="79" t="s">
        <v>46</v>
      </c>
      <c r="E57" s="80">
        <v>720</v>
      </c>
      <c r="F57" s="80">
        <v>600</v>
      </c>
      <c r="G57" s="80">
        <v>560</v>
      </c>
      <c r="H57" s="80">
        <v>0</v>
      </c>
      <c r="I57" s="81">
        <f>((E57*2+F57*(ТаблицаКорпус[[#This Row],[Кол-во полок]]+1))*G57+F57*(750+100+70))/1000000*$O$1</f>
        <v>5422.08</v>
      </c>
      <c r="J57" s="82">
        <v>0</v>
      </c>
      <c r="K57" s="83">
        <f t="shared" si="11"/>
        <v>0</v>
      </c>
      <c r="L57" s="84"/>
      <c r="M57" s="85" t="s">
        <v>222</v>
      </c>
      <c r="N57" s="86"/>
      <c r="O57" s="76">
        <v>1</v>
      </c>
      <c r="P57" s="76">
        <f>ТаблицаКорпус[[#This Row],[Высота]]-3</f>
        <v>717</v>
      </c>
      <c r="Q57" s="76">
        <f>ТаблицаКорпус[[#This Row],[Ширина]]-3</f>
        <v>597</v>
      </c>
      <c r="R57" s="76"/>
      <c r="S57" s="76"/>
      <c r="T57" s="76"/>
      <c r="U57" s="76"/>
      <c r="V57" s="76"/>
      <c r="W57" s="76"/>
      <c r="X57" s="76"/>
    </row>
    <row r="58" spans="2:24" ht="154.15" customHeight="1">
      <c r="B58" s="77"/>
      <c r="C58" s="78"/>
      <c r="D58" s="79" t="s">
        <v>54</v>
      </c>
      <c r="E58" s="80">
        <v>720</v>
      </c>
      <c r="F58" s="80">
        <v>200</v>
      </c>
      <c r="G58" s="80">
        <v>560</v>
      </c>
      <c r="H58" s="80">
        <v>0</v>
      </c>
      <c r="I58" s="81">
        <f>((E58*2+F58*(ТаблицаКорпус[[#This Row],[Кол-во полок]]+1))*G58)/1000000*$O$1</f>
        <v>2938.88</v>
      </c>
      <c r="J58" s="82">
        <v>0</v>
      </c>
      <c r="K58" s="83">
        <f t="shared" ref="K58" si="15">I58*J58</f>
        <v>0</v>
      </c>
      <c r="L58" s="84" t="s">
        <v>480</v>
      </c>
      <c r="M58" s="85" t="s">
        <v>223</v>
      </c>
      <c r="N58" s="86"/>
      <c r="O58" s="76">
        <v>1</v>
      </c>
      <c r="P58" s="76">
        <f>ТаблицаКорпус[[#This Row],[Высота]]-3</f>
        <v>717</v>
      </c>
      <c r="Q58" s="76">
        <f>ТаблицаКорпус[[#This Row],[Ширина]]-3</f>
        <v>197</v>
      </c>
      <c r="R58" s="76"/>
      <c r="S58" s="76"/>
      <c r="T58" s="76"/>
      <c r="U58" s="76"/>
      <c r="V58" s="76"/>
      <c r="W58" s="76"/>
      <c r="X58" s="76"/>
    </row>
    <row r="59" spans="2:24" ht="154.15" customHeight="1">
      <c r="B59" s="77"/>
      <c r="C59" s="78"/>
      <c r="D59" s="79" t="s">
        <v>54</v>
      </c>
      <c r="E59" s="80">
        <v>720</v>
      </c>
      <c r="F59" s="80">
        <v>200</v>
      </c>
      <c r="G59" s="80">
        <v>560</v>
      </c>
      <c r="H59" s="80">
        <v>0</v>
      </c>
      <c r="I59" s="81">
        <f>((E59*2+F59*(ТаблицаКорпус[[#This Row],[Кол-во полок]]+1))*G59)/1000000*$O$1</f>
        <v>2938.88</v>
      </c>
      <c r="J59" s="82">
        <v>0</v>
      </c>
      <c r="K59" s="83">
        <f t="shared" si="11"/>
        <v>0</v>
      </c>
      <c r="L59" s="84" t="s">
        <v>480</v>
      </c>
      <c r="M59" s="85" t="s">
        <v>223</v>
      </c>
      <c r="N59" s="86"/>
      <c r="O59" s="76">
        <v>1</v>
      </c>
      <c r="P59" s="76">
        <f>ТаблицаКорпус[[#This Row],[Высота]]-3</f>
        <v>717</v>
      </c>
      <c r="Q59" s="76">
        <f>ТаблицаКорпус[[#This Row],[Ширина]]-3</f>
        <v>197</v>
      </c>
      <c r="R59" s="76"/>
      <c r="S59" s="76"/>
      <c r="T59" s="76"/>
      <c r="U59" s="76"/>
      <c r="V59" s="76"/>
      <c r="W59" s="76"/>
      <c r="X59" s="76"/>
    </row>
    <row r="60" spans="2:24" ht="154.15" customHeight="1">
      <c r="B60" s="77"/>
      <c r="C60" s="78"/>
      <c r="D60" s="79" t="s">
        <v>47</v>
      </c>
      <c r="E60" s="80">
        <v>720</v>
      </c>
      <c r="F60" s="80">
        <v>600</v>
      </c>
      <c r="G60" s="80">
        <v>560</v>
      </c>
      <c r="H60" s="80">
        <v>1</v>
      </c>
      <c r="I60" s="81">
        <f>((E60*2+F60*(ТаблицаКорпус[[#This Row],[Кол-во полок]]+1))*G60+F60*70*2)/1000000*$O$1</f>
        <v>4999.68</v>
      </c>
      <c r="J60" s="82">
        <v>0</v>
      </c>
      <c r="K60" s="83">
        <f t="shared" ref="K60" si="16">I60*J60</f>
        <v>0</v>
      </c>
      <c r="L60" s="84"/>
      <c r="M60" s="85" t="s">
        <v>224</v>
      </c>
      <c r="N60" s="86"/>
      <c r="O60" s="76">
        <v>1</v>
      </c>
      <c r="P60" s="76">
        <f>ТаблицаКорпус[[#This Row],[Высота]]-3</f>
        <v>717</v>
      </c>
      <c r="Q60" s="76">
        <f>ТаблицаКорпус[[#This Row],[Ширина]]-3</f>
        <v>597</v>
      </c>
      <c r="R60" s="76"/>
      <c r="S60" s="76"/>
      <c r="T60" s="76"/>
      <c r="U60" s="76"/>
      <c r="V60" s="76"/>
      <c r="W60" s="76"/>
      <c r="X60" s="76"/>
    </row>
    <row r="61" spans="2:24" ht="154.15" customHeight="1">
      <c r="B61" s="77"/>
      <c r="C61" s="78"/>
      <c r="D61" s="79" t="s">
        <v>47</v>
      </c>
      <c r="E61" s="80">
        <v>720</v>
      </c>
      <c r="F61" s="80">
        <v>600</v>
      </c>
      <c r="G61" s="80">
        <v>560</v>
      </c>
      <c r="H61" s="80">
        <v>1</v>
      </c>
      <c r="I61" s="81">
        <f>((E61*2+F61*(ТаблицаКорпус[[#This Row],[Кол-во полок]]+1))*G61+F61*70*2)/1000000*$O$1</f>
        <v>4999.68</v>
      </c>
      <c r="J61" s="82">
        <v>0</v>
      </c>
      <c r="K61" s="83">
        <f t="shared" ref="K61" si="17">I61*J61</f>
        <v>0</v>
      </c>
      <c r="L61" s="84"/>
      <c r="M61" s="85" t="s">
        <v>224</v>
      </c>
      <c r="N61" s="86"/>
      <c r="O61" s="76">
        <v>1</v>
      </c>
      <c r="P61" s="76">
        <f>ТаблицаКорпус[[#This Row],[Высота]]-3</f>
        <v>717</v>
      </c>
      <c r="Q61" s="76">
        <f>ТаблицаКорпус[[#This Row],[Ширина]]-3</f>
        <v>597</v>
      </c>
      <c r="R61" s="76"/>
      <c r="S61" s="76"/>
      <c r="T61" s="76"/>
      <c r="U61" s="76"/>
      <c r="V61" s="76"/>
      <c r="W61" s="76"/>
      <c r="X61" s="76"/>
    </row>
    <row r="62" spans="2:24" ht="154.15" customHeight="1">
      <c r="B62" s="77"/>
      <c r="C62" s="78"/>
      <c r="D62" s="79" t="s">
        <v>47</v>
      </c>
      <c r="E62" s="80">
        <v>720</v>
      </c>
      <c r="F62" s="80">
        <v>600</v>
      </c>
      <c r="G62" s="80">
        <v>560</v>
      </c>
      <c r="H62" s="80">
        <v>1</v>
      </c>
      <c r="I62" s="81">
        <f>((E62*2+F62*(ТаблицаКорпус[[#This Row],[Кол-во полок]]+1))*G62+F62*70*2)/1000000*$O$1</f>
        <v>4999.68</v>
      </c>
      <c r="J62" s="82">
        <v>0</v>
      </c>
      <c r="K62" s="83">
        <f t="shared" si="11"/>
        <v>0</v>
      </c>
      <c r="L62" s="84"/>
      <c r="M62" s="85" t="s">
        <v>224</v>
      </c>
      <c r="N62" s="86"/>
      <c r="O62" s="76">
        <v>1</v>
      </c>
      <c r="P62" s="76">
        <f>ТаблицаКорпус[[#This Row],[Высота]]-3</f>
        <v>717</v>
      </c>
      <c r="Q62" s="76">
        <f>ТаблицаКорпус[[#This Row],[Ширина]]-3</f>
        <v>597</v>
      </c>
      <c r="R62" s="76"/>
      <c r="S62" s="76"/>
      <c r="T62" s="76"/>
      <c r="U62" s="76"/>
      <c r="V62" s="76"/>
      <c r="W62" s="76"/>
      <c r="X62" s="76"/>
    </row>
    <row r="63" spans="2:24" ht="154.15" customHeight="1">
      <c r="B63" s="77"/>
      <c r="C63" s="78"/>
      <c r="D63" s="79" t="s">
        <v>48</v>
      </c>
      <c r="E63" s="80">
        <v>720</v>
      </c>
      <c r="F63" s="80">
        <v>900</v>
      </c>
      <c r="G63" s="80">
        <v>560</v>
      </c>
      <c r="H63" s="80">
        <v>1</v>
      </c>
      <c r="I63" s="81">
        <f>((E63*2+F63*(ТаблицаКорпус[[#This Row],[Кол-во полок]]+1))*G63+F63*70*2)/1000000*$O$1</f>
        <v>6209.28</v>
      </c>
      <c r="J63" s="82">
        <v>0</v>
      </c>
      <c r="K63" s="83">
        <f t="shared" ref="K63" si="18">I63*J63</f>
        <v>0</v>
      </c>
      <c r="L63" s="84"/>
      <c r="M63" s="85" t="s">
        <v>225</v>
      </c>
      <c r="N63" s="86"/>
      <c r="O63" s="76">
        <v>2</v>
      </c>
      <c r="P63" s="76">
        <f>ТаблицаКорпус[[#This Row],[Высота]]-3</f>
        <v>717</v>
      </c>
      <c r="Q63" s="76">
        <f>ТаблицаКорпус[[#This Row],[Ширина]]/2-3</f>
        <v>447</v>
      </c>
      <c r="R63" s="76">
        <f>ТаблицаКорпус[[#This Row],[Фасад 1 Высота]]</f>
        <v>717</v>
      </c>
      <c r="S63" s="76">
        <f>ТаблицаКорпус[[#This Row],[Ширина]]/2-3</f>
        <v>447</v>
      </c>
      <c r="T63" s="76"/>
      <c r="U63" s="76"/>
      <c r="V63" s="76"/>
      <c r="W63" s="76"/>
      <c r="X63" s="76"/>
    </row>
    <row r="64" spans="2:24" ht="154.15" customHeight="1">
      <c r="B64" s="77"/>
      <c r="C64" s="78"/>
      <c r="D64" s="79" t="s">
        <v>48</v>
      </c>
      <c r="E64" s="80">
        <v>720</v>
      </c>
      <c r="F64" s="80">
        <v>900</v>
      </c>
      <c r="G64" s="80">
        <v>560</v>
      </c>
      <c r="H64" s="80">
        <v>1</v>
      </c>
      <c r="I64" s="81">
        <f>((E64*2+F64*(ТаблицаКорпус[[#This Row],[Кол-во полок]]+1))*G64+F64*70*2)/1000000*$O$1</f>
        <v>6209.28</v>
      </c>
      <c r="J64" s="82">
        <v>0</v>
      </c>
      <c r="K64" s="83">
        <f t="shared" si="11"/>
        <v>0</v>
      </c>
      <c r="L64" s="84"/>
      <c r="M64" s="85" t="s">
        <v>225</v>
      </c>
      <c r="N64" s="86"/>
      <c r="O64" s="76">
        <v>2</v>
      </c>
      <c r="P64" s="76">
        <f>ТаблицаКорпус[[#This Row],[Высота]]-3</f>
        <v>717</v>
      </c>
      <c r="Q64" s="76">
        <f>ТаблицаКорпус[[#This Row],[Ширина]]/2-3</f>
        <v>447</v>
      </c>
      <c r="R64" s="76">
        <f>ТаблицаКорпус[[#This Row],[Фасад 1 Высота]]</f>
        <v>717</v>
      </c>
      <c r="S64" s="76">
        <f>ТаблицаКорпус[[#This Row],[Ширина]]/2-3</f>
        <v>447</v>
      </c>
      <c r="T64" s="76"/>
      <c r="U64" s="76"/>
      <c r="V64" s="76"/>
      <c r="W64" s="76"/>
      <c r="X64" s="76"/>
    </row>
    <row r="65" spans="2:24" ht="154.15" customHeight="1">
      <c r="B65" s="77"/>
      <c r="C65" s="78"/>
      <c r="D65" s="79" t="s">
        <v>49</v>
      </c>
      <c r="E65" s="80">
        <v>720</v>
      </c>
      <c r="F65" s="80">
        <v>600</v>
      </c>
      <c r="G65" s="80">
        <v>560</v>
      </c>
      <c r="H65" s="80">
        <v>0</v>
      </c>
      <c r="I65" s="81">
        <f>((E65*2+F65*(ТаблицаКорпус[[#This Row],[Кол-во полок]]+1))*G65+F65*(140+1000+350))/1000000*$O$1</f>
        <v>6516.48</v>
      </c>
      <c r="J65" s="82">
        <v>0</v>
      </c>
      <c r="K65" s="83">
        <f t="shared" si="11"/>
        <v>0</v>
      </c>
      <c r="L65" s="84"/>
      <c r="M65" s="85" t="s">
        <v>226</v>
      </c>
      <c r="N65" s="86"/>
      <c r="O65" s="76">
        <v>1</v>
      </c>
      <c r="P65" s="76">
        <f>ТаблицаКорпус[[#This Row],[Высота]]-3</f>
        <v>717</v>
      </c>
      <c r="Q65" s="76">
        <f>ТаблицаКорпус[[#This Row],[Ширина]]-3</f>
        <v>597</v>
      </c>
      <c r="R65" s="76"/>
      <c r="S65" s="76"/>
      <c r="T65" s="76"/>
      <c r="U65" s="76"/>
      <c r="V65" s="76"/>
      <c r="W65" s="76"/>
      <c r="X65" s="76"/>
    </row>
    <row r="66" spans="2:24" ht="154.15" customHeight="1">
      <c r="B66" s="77"/>
      <c r="C66" s="78"/>
      <c r="D66" s="79" t="s">
        <v>50</v>
      </c>
      <c r="E66" s="80">
        <v>720</v>
      </c>
      <c r="F66" s="80">
        <v>600</v>
      </c>
      <c r="G66" s="80">
        <v>560</v>
      </c>
      <c r="H66" s="80">
        <v>0</v>
      </c>
      <c r="I66" s="81">
        <f>((E66*2+F66*(ТаблицаКорпус[[#This Row],[Кол-во полок]]+1))*G66+F66*(140+1500+450))/1000000*$O$1</f>
        <v>7668.48</v>
      </c>
      <c r="J66" s="82">
        <v>0</v>
      </c>
      <c r="K66" s="83">
        <f t="shared" si="11"/>
        <v>0</v>
      </c>
      <c r="L66" s="84"/>
      <c r="M66" s="85" t="s">
        <v>227</v>
      </c>
      <c r="N66" s="86"/>
      <c r="O66" s="76">
        <v>1</v>
      </c>
      <c r="P66" s="76">
        <f>ТаблицаКорпус[[#This Row],[Высота]]-3</f>
        <v>717</v>
      </c>
      <c r="Q66" s="76">
        <f>ТаблицаКорпус[[#This Row],[Ширина]]-3</f>
        <v>597</v>
      </c>
      <c r="R66" s="76"/>
      <c r="S66" s="76"/>
      <c r="T66" s="76"/>
      <c r="U66" s="76"/>
      <c r="V66" s="76"/>
      <c r="W66" s="76"/>
      <c r="X66" s="76"/>
    </row>
    <row r="67" spans="2:24" ht="154.15" customHeight="1">
      <c r="B67" s="77"/>
      <c r="C67" s="78"/>
      <c r="D67" s="79" t="s">
        <v>51</v>
      </c>
      <c r="E67" s="80">
        <v>720</v>
      </c>
      <c r="F67" s="80">
        <v>450</v>
      </c>
      <c r="G67" s="80">
        <v>560</v>
      </c>
      <c r="H67" s="80">
        <v>0</v>
      </c>
      <c r="I67" s="81">
        <f>((E67*2+F67*(ТаблицаКорпус[[#This Row],[Кол-во полок]]+1))*G67+F67*(140+1000+500))/1000000*$O$1</f>
        <v>5748.48</v>
      </c>
      <c r="J67" s="82">
        <v>0</v>
      </c>
      <c r="K67" s="83">
        <f t="shared" ref="K67" si="19">I67*J67</f>
        <v>0</v>
      </c>
      <c r="L67" s="84"/>
      <c r="M67" s="85" t="s">
        <v>228</v>
      </c>
      <c r="N67" s="86"/>
      <c r="O67" s="76">
        <v>2</v>
      </c>
      <c r="P67" s="76">
        <f>ТаблицаКорпус[[#This Row],[Высота]]-3</f>
        <v>717</v>
      </c>
      <c r="Q67" s="76">
        <f>ТаблицаКорпус[[#This Row],[Ширина]]-3</f>
        <v>447</v>
      </c>
      <c r="R67" s="76">
        <f>ТаблицаКорпус[[#This Row],[Фасад 1 Высота]]</f>
        <v>717</v>
      </c>
      <c r="S67" s="76">
        <f>ТаблицаКорпус[[#This Row],[Ширина]]-3</f>
        <v>447</v>
      </c>
      <c r="T67" s="76"/>
      <c r="U67" s="76"/>
      <c r="V67" s="76"/>
      <c r="W67" s="76"/>
      <c r="X67" s="76"/>
    </row>
    <row r="68" spans="2:24" ht="154.15" customHeight="1">
      <c r="B68" s="77"/>
      <c r="C68" s="78"/>
      <c r="D68" s="79" t="s">
        <v>51</v>
      </c>
      <c r="E68" s="80">
        <v>720</v>
      </c>
      <c r="F68" s="80">
        <v>600</v>
      </c>
      <c r="G68" s="80">
        <v>560</v>
      </c>
      <c r="H68" s="80">
        <v>0</v>
      </c>
      <c r="I68" s="81">
        <f>((E68*2+F68*(ТаблицаКорпус[[#This Row],[Кол-во полок]]+1))*G68+F68*(140+1000+500))/1000000*$O$1</f>
        <v>6804.48</v>
      </c>
      <c r="J68" s="82">
        <v>0</v>
      </c>
      <c r="K68" s="83">
        <f t="shared" ref="K68" si="20">I68*J68</f>
        <v>0</v>
      </c>
      <c r="L68" s="84"/>
      <c r="M68" s="85" t="s">
        <v>228</v>
      </c>
      <c r="N68" s="86"/>
      <c r="O68" s="76">
        <v>2</v>
      </c>
      <c r="P68" s="76">
        <f>ТаблицаКорпус[[#This Row],[Высота]]-3</f>
        <v>717</v>
      </c>
      <c r="Q68" s="76">
        <f>ТаблицаКорпус[[#This Row],[Ширина]]-3</f>
        <v>597</v>
      </c>
      <c r="R68" s="76">
        <f>ТаблицаКорпус[[#This Row],[Фасад 1 Высота]]</f>
        <v>717</v>
      </c>
      <c r="S68" s="76">
        <f>ТаблицаКорпус[[#This Row],[Ширина]]-3</f>
        <v>597</v>
      </c>
      <c r="T68" s="76"/>
      <c r="U68" s="76"/>
      <c r="V68" s="76"/>
      <c r="W68" s="76"/>
      <c r="X68" s="76"/>
    </row>
    <row r="69" spans="2:24" ht="154.15" customHeight="1">
      <c r="B69" s="77"/>
      <c r="C69" s="78"/>
      <c r="D69" s="79" t="s">
        <v>51</v>
      </c>
      <c r="E69" s="80">
        <v>720</v>
      </c>
      <c r="F69" s="80">
        <v>900</v>
      </c>
      <c r="G69" s="80">
        <v>560</v>
      </c>
      <c r="H69" s="80">
        <v>0</v>
      </c>
      <c r="I69" s="81">
        <f>((E69*2+F69*(ТаблицаКорпус[[#This Row],[Кол-во полок]]+1))*G69+F69*(140+1000+500))/1000000*$O$1</f>
        <v>8916.48</v>
      </c>
      <c r="J69" s="82">
        <v>0</v>
      </c>
      <c r="K69" s="83">
        <f t="shared" si="11"/>
        <v>0</v>
      </c>
      <c r="L69" s="84"/>
      <c r="M69" s="85" t="s">
        <v>228</v>
      </c>
      <c r="N69" s="86"/>
      <c r="O69" s="76">
        <v>2</v>
      </c>
      <c r="P69" s="76">
        <f>ТаблицаКорпус[[#This Row],[Высота]]-3</f>
        <v>717</v>
      </c>
      <c r="Q69" s="76">
        <f>ТаблицаКорпус[[#This Row],[Ширина]]-3</f>
        <v>897</v>
      </c>
      <c r="R69" s="76">
        <f>ТаблицаКорпус[[#This Row],[Фасад 1 Высота]]</f>
        <v>717</v>
      </c>
      <c r="S69" s="76">
        <f>ТаблицаКорпус[[#This Row],[Ширина]]-3</f>
        <v>897</v>
      </c>
      <c r="T69" s="76"/>
      <c r="U69" s="76"/>
      <c r="V69" s="76"/>
      <c r="W69" s="76"/>
      <c r="X69" s="76"/>
    </row>
    <row r="70" spans="2:24" ht="154.15" customHeight="1">
      <c r="B70" s="77"/>
      <c r="C70" s="78"/>
      <c r="D70" s="79" t="s">
        <v>52</v>
      </c>
      <c r="E70" s="80">
        <v>720</v>
      </c>
      <c r="F70" s="80">
        <v>450</v>
      </c>
      <c r="G70" s="80">
        <v>560</v>
      </c>
      <c r="H70" s="80">
        <v>0</v>
      </c>
      <c r="I70" s="81">
        <f>((E70*2+F70*(ТаблицаКорпус[[#This Row],[Кол-во полок]]+1))*G70+F70*(140+1500+450))/1000000*$O$1</f>
        <v>6396.48</v>
      </c>
      <c r="J70" s="82">
        <v>0</v>
      </c>
      <c r="K70" s="83">
        <f t="shared" ref="K70" si="21">I70*J70</f>
        <v>0</v>
      </c>
      <c r="L70" s="84"/>
      <c r="M70" s="85" t="s">
        <v>229</v>
      </c>
      <c r="N70" s="86"/>
      <c r="O70" s="76">
        <v>2</v>
      </c>
      <c r="P70" s="76">
        <f>ТаблицаКорпус[[#This Row],[Высота]]-3</f>
        <v>717</v>
      </c>
      <c r="Q70" s="76">
        <f>ТаблицаКорпус[[#This Row],[Ширина]]-3</f>
        <v>447</v>
      </c>
      <c r="R70" s="76">
        <f>ТаблицаКорпус[[#This Row],[Фасад 1 Высота]]</f>
        <v>717</v>
      </c>
      <c r="S70" s="76">
        <f>ТаблицаКорпус[[#This Row],[Ширина]]-3</f>
        <v>447</v>
      </c>
      <c r="T70" s="76"/>
      <c r="U70" s="76"/>
      <c r="V70" s="76"/>
      <c r="W70" s="76"/>
      <c r="X70" s="76"/>
    </row>
    <row r="71" spans="2:24" ht="154.15" customHeight="1">
      <c r="B71" s="77"/>
      <c r="C71" s="78"/>
      <c r="D71" s="79" t="s">
        <v>52</v>
      </c>
      <c r="E71" s="80">
        <v>720</v>
      </c>
      <c r="F71" s="80">
        <v>600</v>
      </c>
      <c r="G71" s="80">
        <v>560</v>
      </c>
      <c r="H71" s="80">
        <v>0</v>
      </c>
      <c r="I71" s="81">
        <f>((E71*2+F71*(ТаблицаКорпус[[#This Row],[Кол-во полок]]+1))*G71+F71*(140+1500+450))/1000000*$O$1</f>
        <v>7668.48</v>
      </c>
      <c r="J71" s="82">
        <v>0</v>
      </c>
      <c r="K71" s="83">
        <f t="shared" ref="K71" si="22">I71*J71</f>
        <v>0</v>
      </c>
      <c r="L71" s="84"/>
      <c r="M71" s="85" t="s">
        <v>229</v>
      </c>
      <c r="N71" s="86"/>
      <c r="O71" s="76">
        <v>2</v>
      </c>
      <c r="P71" s="76">
        <f>ТаблицаКорпус[[#This Row],[Высота]]-3</f>
        <v>717</v>
      </c>
      <c r="Q71" s="76">
        <f>ТаблицаКорпус[[#This Row],[Ширина]]-3</f>
        <v>597</v>
      </c>
      <c r="R71" s="76">
        <f>ТаблицаКорпус[[#This Row],[Фасад 1 Высота]]</f>
        <v>717</v>
      </c>
      <c r="S71" s="76">
        <f>ТаблицаКорпус[[#This Row],[Ширина]]-3</f>
        <v>597</v>
      </c>
      <c r="T71" s="76"/>
      <c r="U71" s="76"/>
      <c r="V71" s="76"/>
      <c r="W71" s="76"/>
      <c r="X71" s="76"/>
    </row>
    <row r="72" spans="2:24" ht="154.15" customHeight="1">
      <c r="B72" s="77"/>
      <c r="C72" s="78"/>
      <c r="D72" s="79" t="s">
        <v>52</v>
      </c>
      <c r="E72" s="80">
        <v>720</v>
      </c>
      <c r="F72" s="80">
        <v>900</v>
      </c>
      <c r="G72" s="80">
        <v>560</v>
      </c>
      <c r="H72" s="80">
        <v>0</v>
      </c>
      <c r="I72" s="81">
        <f>((E72*2+F72*(ТаблицаКорпус[[#This Row],[Кол-во полок]]+1))*G72+F72*(140+1500+450))/1000000*$O$1</f>
        <v>10212.48</v>
      </c>
      <c r="J72" s="82">
        <v>0</v>
      </c>
      <c r="K72" s="83">
        <f t="shared" si="11"/>
        <v>0</v>
      </c>
      <c r="L72" s="84"/>
      <c r="M72" s="85" t="s">
        <v>229</v>
      </c>
      <c r="N72" s="86"/>
      <c r="O72" s="76">
        <v>2</v>
      </c>
      <c r="P72" s="76">
        <f>ТаблицаКорпус[[#This Row],[Высота]]-3</f>
        <v>717</v>
      </c>
      <c r="Q72" s="76">
        <f>ТаблицаКорпус[[#This Row],[Ширина]]-3</f>
        <v>897</v>
      </c>
      <c r="R72" s="76">
        <f>ТаблицаКорпус[[#This Row],[Фасад 1 Высота]]</f>
        <v>717</v>
      </c>
      <c r="S72" s="76">
        <f>ТаблицаКорпус[[#This Row],[Ширина]]-3</f>
        <v>897</v>
      </c>
      <c r="T72" s="76"/>
      <c r="U72" s="76"/>
      <c r="V72" s="76"/>
      <c r="W72" s="76"/>
      <c r="X72" s="76"/>
    </row>
    <row r="73" spans="2:24" ht="154.15" customHeight="1">
      <c r="B73" s="77"/>
      <c r="C73" s="78"/>
      <c r="D73" s="79" t="s">
        <v>53</v>
      </c>
      <c r="E73" s="80">
        <v>720</v>
      </c>
      <c r="F73" s="80">
        <v>600</v>
      </c>
      <c r="G73" s="80">
        <v>560</v>
      </c>
      <c r="H73" s="80">
        <v>0</v>
      </c>
      <c r="I73" s="81">
        <f>((E73*2+F73*(ТаблицаКорпус[[#This Row],[Кол-во полок]]+1))*G73+F73*(140+1500+450))/1000000*$O$1</f>
        <v>7668.48</v>
      </c>
      <c r="J73" s="82">
        <v>0</v>
      </c>
      <c r="K73" s="83">
        <f t="shared" ref="K73:K74" si="23">I73*J73</f>
        <v>0</v>
      </c>
      <c r="L73" s="84"/>
      <c r="M73" s="85" t="s">
        <v>230</v>
      </c>
      <c r="N73" s="86"/>
      <c r="O73" s="76">
        <v>3</v>
      </c>
      <c r="P73" s="76">
        <f>ТаблицаКорпус[[#This Row],[Высота]]/4-3</f>
        <v>177</v>
      </c>
      <c r="Q73" s="76">
        <f>ТаблицаКорпус[[#This Row],[Ширина]]-3</f>
        <v>597</v>
      </c>
      <c r="R73" s="76">
        <f>ТаблицаКорпус[[#This Row],[Фасад 1 Высота]]</f>
        <v>177</v>
      </c>
      <c r="S73" s="76">
        <f>ТаблицаКорпус[[#This Row],[Ширина]]-3</f>
        <v>597</v>
      </c>
      <c r="T73" s="76">
        <f>ТаблицаКорпус[[#This Row],[Высота]]/2-3</f>
        <v>357</v>
      </c>
      <c r="U73" s="76">
        <f>ТаблицаКорпус[[#This Row],[Ширина]]-3</f>
        <v>597</v>
      </c>
      <c r="V73" s="76"/>
      <c r="W73" s="76"/>
      <c r="X73" s="76"/>
    </row>
    <row r="74" spans="2:24" ht="154.15" customHeight="1">
      <c r="B74" s="77"/>
      <c r="C74" s="78"/>
      <c r="D74" s="79" t="s">
        <v>53</v>
      </c>
      <c r="E74" s="80">
        <v>720</v>
      </c>
      <c r="F74" s="80">
        <v>600</v>
      </c>
      <c r="G74" s="80">
        <v>560</v>
      </c>
      <c r="H74" s="80">
        <v>0</v>
      </c>
      <c r="I74" s="81">
        <f>((E74*2+F74*(ТаблицаКорпус[[#This Row],[Кол-во полок]]+1))*G74+F74*(140+1500+450))/1000000*$O$1</f>
        <v>7668.48</v>
      </c>
      <c r="J74" s="82">
        <v>0</v>
      </c>
      <c r="K74" s="83">
        <f t="shared" si="23"/>
        <v>0</v>
      </c>
      <c r="L74" s="84"/>
      <c r="M74" s="85" t="s">
        <v>230</v>
      </c>
      <c r="N74" s="86"/>
      <c r="O74" s="76">
        <v>3</v>
      </c>
      <c r="P74" s="76">
        <f>ТаблицаКорпус[[#This Row],[Высота]]/4-3</f>
        <v>177</v>
      </c>
      <c r="Q74" s="76">
        <f>ТаблицаКорпус[[#This Row],[Ширина]]-3</f>
        <v>597</v>
      </c>
      <c r="R74" s="76">
        <f>ТаблицаКорпус[[#This Row],[Фасад 1 Высота]]</f>
        <v>177</v>
      </c>
      <c r="S74" s="76">
        <f>ТаблицаКорпус[[#This Row],[Ширина]]-3</f>
        <v>597</v>
      </c>
      <c r="T74" s="76">
        <f>ТаблицаКорпус[[#This Row],[Высота]]/2-3</f>
        <v>357</v>
      </c>
      <c r="U74" s="76">
        <f>ТаблицаКорпус[[#This Row],[Ширина]]-3</f>
        <v>597</v>
      </c>
      <c r="V74" s="76"/>
      <c r="W74" s="76"/>
      <c r="X74" s="76"/>
    </row>
    <row r="75" spans="2:24" ht="154.15" customHeight="1">
      <c r="B75" s="77"/>
      <c r="C75" s="78"/>
      <c r="D75" s="79" t="s">
        <v>53</v>
      </c>
      <c r="E75" s="80">
        <v>720</v>
      </c>
      <c r="F75" s="80">
        <v>600</v>
      </c>
      <c r="G75" s="80">
        <v>560</v>
      </c>
      <c r="H75" s="80">
        <v>0</v>
      </c>
      <c r="I75" s="81">
        <f>((E75*2+F75*(ТаблицаКорпус[[#This Row],[Кол-во полок]]+1))*G75+F75*(140+1500+450))/1000000*$O$1</f>
        <v>7668.48</v>
      </c>
      <c r="J75" s="82">
        <v>0</v>
      </c>
      <c r="K75" s="83">
        <f t="shared" si="11"/>
        <v>0</v>
      </c>
      <c r="L75" s="84"/>
      <c r="M75" s="85" t="s">
        <v>230</v>
      </c>
      <c r="N75" s="86"/>
      <c r="O75" s="76">
        <v>3</v>
      </c>
      <c r="P75" s="76">
        <f>ТаблицаКорпус[[#This Row],[Высота]]/4-3</f>
        <v>177</v>
      </c>
      <c r="Q75" s="76">
        <f>ТаблицаКорпус[[#This Row],[Ширина]]-3</f>
        <v>597</v>
      </c>
      <c r="R75" s="76">
        <f>ТаблицаКорпус[[#This Row],[Фасад 1 Высота]]</f>
        <v>177</v>
      </c>
      <c r="S75" s="76">
        <f>ТаблицаКорпус[[#This Row],[Ширина]]-3</f>
        <v>597</v>
      </c>
      <c r="T75" s="76">
        <f>ТаблицаКорпус[[#This Row],[Высота]]/2-3</f>
        <v>357</v>
      </c>
      <c r="U75" s="76">
        <f>ТаблицаКорпус[[#This Row],[Ширина]]-3</f>
        <v>597</v>
      </c>
      <c r="V75" s="76"/>
      <c r="W75" s="76"/>
      <c r="X75" s="76"/>
    </row>
    <row r="76" spans="2:24" ht="154.15" customHeight="1">
      <c r="B76" s="77"/>
      <c r="C76" s="78"/>
      <c r="D76" s="79" t="s">
        <v>55</v>
      </c>
      <c r="E76" s="80">
        <v>720</v>
      </c>
      <c r="F76" s="80">
        <v>600</v>
      </c>
      <c r="G76" s="80">
        <v>560</v>
      </c>
      <c r="H76" s="80">
        <v>0</v>
      </c>
      <c r="I76" s="81">
        <f>((E76*2+F76*(ТаблицаКорпус[[#This Row],[Кол-во полок]]+1))*G76+F76*(140+1500+300))/1000000*$O$1</f>
        <v>7380.48</v>
      </c>
      <c r="J76" s="82">
        <v>0</v>
      </c>
      <c r="K76" s="83">
        <f t="shared" si="11"/>
        <v>0</v>
      </c>
      <c r="L76" s="84"/>
      <c r="M76" s="85" t="s">
        <v>231</v>
      </c>
      <c r="N76" s="86"/>
      <c r="O76" s="76">
        <v>3</v>
      </c>
      <c r="P76" s="76">
        <f>ТаблицаКорпус[[#This Row],[Высота]]/3-3</f>
        <v>237</v>
      </c>
      <c r="Q76" s="76">
        <f>ТаблицаКорпус[[#This Row],[Ширина]]-3</f>
        <v>597</v>
      </c>
      <c r="R76" s="76">
        <f>ТаблицаКорпус[[#This Row],[Фасад 1 Высота]]</f>
        <v>237</v>
      </c>
      <c r="S76" s="76">
        <f>ТаблицаКорпус[[#This Row],[Ширина]]-3</f>
        <v>597</v>
      </c>
      <c r="T76" s="76">
        <f>ТаблицаКорпус[[#This Row],[Фасад 1 Высота]]</f>
        <v>237</v>
      </c>
      <c r="U76" s="76">
        <f>ТаблицаКорпус[[#This Row],[Ширина]]-3</f>
        <v>597</v>
      </c>
      <c r="V76" s="76"/>
      <c r="W76" s="76"/>
      <c r="X76" s="76"/>
    </row>
    <row r="77" spans="2:24" ht="154.15" customHeight="1">
      <c r="B77" s="77"/>
      <c r="C77" s="78"/>
      <c r="D77" s="79" t="s">
        <v>56</v>
      </c>
      <c r="E77" s="80">
        <v>720</v>
      </c>
      <c r="F77" s="80">
        <v>600</v>
      </c>
      <c r="G77" s="80">
        <v>560</v>
      </c>
      <c r="H77" s="80">
        <v>0</v>
      </c>
      <c r="I77" s="81">
        <f>((E77*2+F77*(ТаблицаКорпус[[#This Row],[Кол-во полок]]+1))*G77+F77*(140+1500+600))/1000000*$O$1</f>
        <v>7956.4800000000005</v>
      </c>
      <c r="J77" s="82">
        <v>0</v>
      </c>
      <c r="K77" s="83">
        <f t="shared" ref="K77" si="24">I77*J77</f>
        <v>0</v>
      </c>
      <c r="L77" s="84"/>
      <c r="M77" s="85" t="s">
        <v>232</v>
      </c>
      <c r="N77" s="86"/>
      <c r="O77" s="76">
        <v>3</v>
      </c>
      <c r="P77" s="76">
        <v>177</v>
      </c>
      <c r="Q77" s="76">
        <f>ТаблицаКорпус[[#This Row],[Ширина]]-3</f>
        <v>597</v>
      </c>
      <c r="R77" s="76">
        <f>(ТаблицаКорпус[[#This Row],[Высота]]-ТаблицаКорпус[[#This Row],[Фасад 1 Высота]])/2-3</f>
        <v>268.5</v>
      </c>
      <c r="S77" s="76">
        <f>ТаблицаКорпус[[#This Row],[Ширина]]-3</f>
        <v>597</v>
      </c>
      <c r="T77" s="76">
        <f>ТаблицаКорпус[[#This Row],[Фасад 2 Высота]]</f>
        <v>268.5</v>
      </c>
      <c r="U77" s="76">
        <f>ТаблицаКорпус[[#This Row],[Ширина]]-3</f>
        <v>597</v>
      </c>
      <c r="V77" s="76"/>
      <c r="W77" s="76"/>
      <c r="X77" s="76"/>
    </row>
    <row r="78" spans="2:24" ht="154.15" customHeight="1">
      <c r="B78" s="77"/>
      <c r="C78" s="78"/>
      <c r="D78" s="79" t="s">
        <v>56</v>
      </c>
      <c r="E78" s="80">
        <v>720</v>
      </c>
      <c r="F78" s="80">
        <v>600</v>
      </c>
      <c r="G78" s="80">
        <v>560</v>
      </c>
      <c r="H78" s="80">
        <v>0</v>
      </c>
      <c r="I78" s="81">
        <f>((E78*2+F78*(ТаблицаКорпус[[#This Row],[Кол-во полок]]+1))*G78+F78*(140+1500+600))/1000000*$O$1</f>
        <v>7956.4800000000005</v>
      </c>
      <c r="J78" s="82">
        <v>0</v>
      </c>
      <c r="K78" s="83">
        <f t="shared" ref="K78" si="25">I78*J78</f>
        <v>0</v>
      </c>
      <c r="L78" s="84"/>
      <c r="M78" s="85" t="s">
        <v>232</v>
      </c>
      <c r="N78" s="86"/>
      <c r="O78" s="76">
        <v>3</v>
      </c>
      <c r="P78" s="76">
        <v>177</v>
      </c>
      <c r="Q78" s="76">
        <f>ТаблицаКорпус[[#This Row],[Ширина]]-3</f>
        <v>597</v>
      </c>
      <c r="R78" s="76">
        <f>(ТаблицаКорпус[[#This Row],[Высота]]-ТаблицаКорпус[[#This Row],[Фасад 1 Высота]])/2-3</f>
        <v>268.5</v>
      </c>
      <c r="S78" s="76">
        <f>ТаблицаКорпус[[#This Row],[Ширина]]-3</f>
        <v>597</v>
      </c>
      <c r="T78" s="76">
        <f>ТаблицаКорпус[[#This Row],[Фасад 2 Высота]]</f>
        <v>268.5</v>
      </c>
      <c r="U78" s="76">
        <f>ТаблицаКорпус[[#This Row],[Ширина]]-3</f>
        <v>597</v>
      </c>
      <c r="V78" s="76"/>
      <c r="W78" s="76"/>
      <c r="X78" s="76"/>
    </row>
    <row r="79" spans="2:24" ht="154.15" customHeight="1">
      <c r="B79" s="77"/>
      <c r="C79" s="78"/>
      <c r="D79" s="79" t="s">
        <v>56</v>
      </c>
      <c r="E79" s="80">
        <v>720</v>
      </c>
      <c r="F79" s="80">
        <v>600</v>
      </c>
      <c r="G79" s="80">
        <v>560</v>
      </c>
      <c r="H79" s="80">
        <v>0</v>
      </c>
      <c r="I79" s="81">
        <f>((E79*2+F79*(ТаблицаКорпус[[#This Row],[Кол-во полок]]+1))*G79+F79*(140+1500+600))/1000000*$O$1</f>
        <v>7956.4800000000005</v>
      </c>
      <c r="J79" s="82">
        <v>0</v>
      </c>
      <c r="K79" s="83">
        <f t="shared" si="11"/>
        <v>0</v>
      </c>
      <c r="L79" s="84"/>
      <c r="M79" s="85" t="s">
        <v>232</v>
      </c>
      <c r="N79" s="86"/>
      <c r="O79" s="76">
        <v>3</v>
      </c>
      <c r="P79" s="76">
        <v>177</v>
      </c>
      <c r="Q79" s="76">
        <f>ТаблицаКорпус[[#This Row],[Ширина]]-3</f>
        <v>597</v>
      </c>
      <c r="R79" s="76">
        <f>(ТаблицаКорпус[[#This Row],[Высота]]-ТаблицаКорпус[[#This Row],[Фасад 1 Высота]])/2-3</f>
        <v>268.5</v>
      </c>
      <c r="S79" s="76">
        <f>ТаблицаКорпус[[#This Row],[Ширина]]-3</f>
        <v>597</v>
      </c>
      <c r="T79" s="76">
        <f>ТаблицаКорпус[[#This Row],[Фасад 2 Высота]]</f>
        <v>268.5</v>
      </c>
      <c r="U79" s="76">
        <f>ТаблицаКорпус[[#This Row],[Ширина]]-3</f>
        <v>597</v>
      </c>
      <c r="V79" s="76"/>
      <c r="W79" s="76"/>
      <c r="X79" s="76"/>
    </row>
    <row r="80" spans="2:24" ht="154.15" customHeight="1">
      <c r="B80" s="77"/>
      <c r="C80" s="78"/>
      <c r="D80" s="79" t="s">
        <v>57</v>
      </c>
      <c r="E80" s="80">
        <v>720</v>
      </c>
      <c r="F80" s="80">
        <v>600</v>
      </c>
      <c r="G80" s="80">
        <v>560</v>
      </c>
      <c r="H80" s="80">
        <v>0</v>
      </c>
      <c r="I80" s="81">
        <f>((E80*2+F80*(ТаблицаКорпус[[#This Row],[Кол-во полок]]+1))*G80+F80*(140+2000+400))/1000000*$O$1</f>
        <v>8532.48</v>
      </c>
      <c r="J80" s="82">
        <v>0</v>
      </c>
      <c r="K80" s="83">
        <f t="shared" ref="K80" si="26">I80*J80</f>
        <v>0</v>
      </c>
      <c r="L80" s="84"/>
      <c r="M80" s="85" t="s">
        <v>233</v>
      </c>
      <c r="N80" s="86"/>
      <c r="O80" s="76">
        <v>4</v>
      </c>
      <c r="P80" s="76">
        <f>ТаблицаКорпус[[#This Row],[Высота]]/4-3</f>
        <v>177</v>
      </c>
      <c r="Q80" s="76">
        <f>ТаблицаКорпус[[#This Row],[Ширина]]-3</f>
        <v>597</v>
      </c>
      <c r="R80" s="76">
        <f>ТаблицаКорпус[[#This Row],[Фасад 1 Высота]]</f>
        <v>177</v>
      </c>
      <c r="S80" s="76">
        <f>ТаблицаКорпус[[#This Row],[Ширина]]-3</f>
        <v>597</v>
      </c>
      <c r="T80" s="76">
        <f>ТаблицаКорпус[[#This Row],[Фасад 1 Высота]]</f>
        <v>177</v>
      </c>
      <c r="U80" s="76">
        <f>ТаблицаКорпус[[#This Row],[Ширина]]-3</f>
        <v>597</v>
      </c>
      <c r="V80" s="76">
        <f>ТаблицаКорпус[[#This Row],[Фасад 1 Высота]]</f>
        <v>177</v>
      </c>
      <c r="W80" s="76">
        <f>ТаблицаКорпус[[#This Row],[Ширина]]-3</f>
        <v>597</v>
      </c>
      <c r="X80" s="76"/>
    </row>
    <row r="81" spans="2:25" ht="154.15" customHeight="1">
      <c r="B81" s="77"/>
      <c r="C81" s="78"/>
      <c r="D81" s="79" t="s">
        <v>57</v>
      </c>
      <c r="E81" s="80">
        <v>720</v>
      </c>
      <c r="F81" s="80">
        <v>600</v>
      </c>
      <c r="G81" s="80">
        <v>560</v>
      </c>
      <c r="H81" s="80">
        <v>0</v>
      </c>
      <c r="I81" s="81">
        <f>((E81*2+F81*(ТаблицаКорпус[[#This Row],[Кол-во полок]]+1))*G81+F81*(140+2000+400))/1000000*$O$1</f>
        <v>8532.48</v>
      </c>
      <c r="J81" s="82">
        <v>0</v>
      </c>
      <c r="K81" s="83">
        <f t="shared" ref="K81" si="27">I81*J81</f>
        <v>0</v>
      </c>
      <c r="L81" s="84"/>
      <c r="M81" s="85" t="s">
        <v>233</v>
      </c>
      <c r="N81" s="86"/>
      <c r="O81" s="76">
        <v>4</v>
      </c>
      <c r="P81" s="76">
        <f>ТаблицаКорпус[[#This Row],[Высота]]/4-3</f>
        <v>177</v>
      </c>
      <c r="Q81" s="76">
        <f>ТаблицаКорпус[[#This Row],[Ширина]]-3</f>
        <v>597</v>
      </c>
      <c r="R81" s="76">
        <f>ТаблицаКорпус[[#This Row],[Фасад 1 Высота]]</f>
        <v>177</v>
      </c>
      <c r="S81" s="76">
        <f>ТаблицаКорпус[[#This Row],[Ширина]]-3</f>
        <v>597</v>
      </c>
      <c r="T81" s="76">
        <f>ТаблицаКорпус[[#This Row],[Фасад 1 Высота]]</f>
        <v>177</v>
      </c>
      <c r="U81" s="76">
        <f>ТаблицаКорпус[[#This Row],[Ширина]]-3</f>
        <v>597</v>
      </c>
      <c r="V81" s="76">
        <f>ТаблицаКорпус[[#This Row],[Фасад 1 Высота]]</f>
        <v>177</v>
      </c>
      <c r="W81" s="76">
        <f>ТаблицаКорпус[[#This Row],[Ширина]]-3</f>
        <v>597</v>
      </c>
      <c r="X81" s="76"/>
      <c r="Y81" s="59" t="s">
        <v>549</v>
      </c>
    </row>
    <row r="82" spans="2:25" ht="154.15" customHeight="1">
      <c r="B82" s="77"/>
      <c r="C82" s="78"/>
      <c r="D82" s="79" t="s">
        <v>57</v>
      </c>
      <c r="E82" s="80">
        <v>720</v>
      </c>
      <c r="F82" s="80">
        <v>600</v>
      </c>
      <c r="G82" s="80">
        <v>560</v>
      </c>
      <c r="H82" s="80">
        <v>0</v>
      </c>
      <c r="I82" s="81">
        <f>((E82*2+F82*(ТаблицаКорпус[[#This Row],[Кол-во полок]]+1))*G82+F82*(140+2000+400))/1000000*$O$1</f>
        <v>8532.48</v>
      </c>
      <c r="J82" s="82">
        <v>0</v>
      </c>
      <c r="K82" s="83">
        <f t="shared" si="11"/>
        <v>0</v>
      </c>
      <c r="L82" s="84"/>
      <c r="M82" s="85" t="s">
        <v>233</v>
      </c>
      <c r="N82" s="86"/>
      <c r="O82" s="76">
        <v>4</v>
      </c>
      <c r="P82" s="76">
        <f>ТаблицаКорпус[[#This Row],[Высота]]/4-3</f>
        <v>177</v>
      </c>
      <c r="Q82" s="76">
        <f>ТаблицаКорпус[[#This Row],[Ширина]]-3</f>
        <v>597</v>
      </c>
      <c r="R82" s="76">
        <f>ТаблицаКорпус[[#This Row],[Фасад 1 Высота]]</f>
        <v>177</v>
      </c>
      <c r="S82" s="76">
        <f>ТаблицаКорпус[[#This Row],[Ширина]]-3</f>
        <v>597</v>
      </c>
      <c r="T82" s="76">
        <f>ТаблицаКорпус[[#This Row],[Фасад 1 Высота]]</f>
        <v>177</v>
      </c>
      <c r="U82" s="76">
        <f>ТаблицаКорпус[[#This Row],[Ширина]]-3</f>
        <v>597</v>
      </c>
      <c r="V82" s="76">
        <f>ТаблицаКорпус[[#This Row],[Фасад 1 Высота]]</f>
        <v>177</v>
      </c>
      <c r="W82" s="76">
        <f>ТаблицаКорпус[[#This Row],[Ширина]]-3</f>
        <v>597</v>
      </c>
      <c r="X82" s="76"/>
    </row>
    <row r="83" spans="2:25" ht="154.15" customHeight="1">
      <c r="B83" s="77"/>
      <c r="C83" s="78"/>
      <c r="D83" s="79" t="s">
        <v>58</v>
      </c>
      <c r="E83" s="80">
        <v>720</v>
      </c>
      <c r="F83" s="80">
        <v>900</v>
      </c>
      <c r="G83" s="80">
        <v>900</v>
      </c>
      <c r="H83" s="80">
        <v>1</v>
      </c>
      <c r="I83" s="81">
        <f>(E83*600*2+F83*G83*(ТаблицаКорпус[[#This Row],[Кол-во полок]]+1)+(E83*2+F83+G83)*200+(G83+F83-600)*70)/1000000*$O$1</f>
        <v>10291.200000000001</v>
      </c>
      <c r="J83" s="82">
        <v>0</v>
      </c>
      <c r="K83" s="83">
        <f t="shared" si="11"/>
        <v>0</v>
      </c>
      <c r="L83" s="84"/>
      <c r="M83" s="85" t="s">
        <v>234</v>
      </c>
      <c r="N83" s="86"/>
      <c r="O83" s="76">
        <v>1</v>
      </c>
      <c r="P83" s="76">
        <f>ТаблицаКорпус[[#This Row],[Высота]]-3</f>
        <v>717</v>
      </c>
      <c r="Q83" s="76">
        <v>447</v>
      </c>
      <c r="R83" s="76"/>
      <c r="S83" s="76"/>
      <c r="T83" s="76"/>
      <c r="U83" s="76"/>
      <c r="V83" s="76"/>
      <c r="W83" s="76"/>
      <c r="X83" s="76"/>
    </row>
    <row r="84" spans="2:25" ht="154.15" customHeight="1">
      <c r="B84" s="77"/>
      <c r="C84" s="78"/>
      <c r="D84" s="79" t="s">
        <v>60</v>
      </c>
      <c r="E84" s="80">
        <v>720</v>
      </c>
      <c r="F84" s="80">
        <v>900</v>
      </c>
      <c r="G84" s="80">
        <v>900</v>
      </c>
      <c r="H84" s="80">
        <v>1</v>
      </c>
      <c r="I84" s="81">
        <f>(E84*600*2+F84*G84*(ТаблицаКорпус[[#This Row],[Кол-во полок]]+1)+(E84*2+F84+G84)*200+(G84+F84-600)*70)/1000000*$O$1</f>
        <v>10291.200000000001</v>
      </c>
      <c r="J84" s="82">
        <v>0</v>
      </c>
      <c r="K84" s="83">
        <f t="shared" si="11"/>
        <v>0</v>
      </c>
      <c r="L84" s="84"/>
      <c r="M84" s="85" t="s">
        <v>235</v>
      </c>
      <c r="N84" s="86"/>
      <c r="O84" s="76">
        <v>1</v>
      </c>
      <c r="P84" s="76">
        <f>ТаблицаКорпус[[#This Row],[Высота]]-3</f>
        <v>717</v>
      </c>
      <c r="Q84" s="76">
        <v>447</v>
      </c>
      <c r="R84" s="76"/>
      <c r="S84" s="76"/>
      <c r="T84" s="76"/>
      <c r="U84" s="76"/>
      <c r="V84" s="76"/>
      <c r="W84" s="76"/>
      <c r="X84" s="76"/>
    </row>
    <row r="85" spans="2:25" ht="154.15" customHeight="1">
      <c r="B85" s="77"/>
      <c r="C85" s="78"/>
      <c r="D85" s="79" t="s">
        <v>59</v>
      </c>
      <c r="E85" s="80">
        <v>720</v>
      </c>
      <c r="F85" s="80">
        <v>900</v>
      </c>
      <c r="G85" s="80">
        <v>900</v>
      </c>
      <c r="H85" s="80">
        <v>1</v>
      </c>
      <c r="I85" s="81">
        <f>(E85*600*2+F85*G85*(ТаблицаКорпус[[#This Row],[Кол-во полок]]+1)+(E85*2+F85+G85)*200+(G85+F85-600)*70)/1000000*$O$1</f>
        <v>10291.200000000001</v>
      </c>
      <c r="J85" s="82">
        <v>0</v>
      </c>
      <c r="K85" s="83">
        <f t="shared" si="11"/>
        <v>0</v>
      </c>
      <c r="L85" s="84"/>
      <c r="M85" s="85" t="s">
        <v>236</v>
      </c>
      <c r="N85" s="86"/>
      <c r="O85" s="76">
        <v>2</v>
      </c>
      <c r="P85" s="76">
        <f>ТаблицаКорпус[[#This Row],[Высота]]-3</f>
        <v>717</v>
      </c>
      <c r="Q85" s="76">
        <f>ТаблицаКорпус[[#This Row],[Ширина]]-580-3</f>
        <v>317</v>
      </c>
      <c r="R85" s="76">
        <f>ТаблицаКорпус[[#This Row],[Фасад 1 Высота]]</f>
        <v>717</v>
      </c>
      <c r="S85" s="76">
        <f>ТаблицаКорпус[[#This Row],[Фасад 1 Ширина]]</f>
        <v>317</v>
      </c>
      <c r="T85" s="76"/>
      <c r="U85" s="76"/>
      <c r="V85" s="76"/>
      <c r="W85" s="76"/>
      <c r="X85" s="76"/>
    </row>
    <row r="86" spans="2:25" ht="154.15" customHeight="1">
      <c r="B86" s="77"/>
      <c r="C86" s="78"/>
      <c r="D86" s="79" t="s">
        <v>61</v>
      </c>
      <c r="E86" s="80">
        <v>720</v>
      </c>
      <c r="F86" s="80">
        <v>900</v>
      </c>
      <c r="G86" s="80">
        <v>900</v>
      </c>
      <c r="H86" s="80">
        <v>1</v>
      </c>
      <c r="I86" s="81">
        <f>(E86*600*2+F86*G86*(ТаблицаКорпус[[#This Row],[Кол-во полок]]+1)+(E86*2+F86+G86)*200+(G86+F86-600)*70)/1000000*$O$1</f>
        <v>10291.200000000001</v>
      </c>
      <c r="J86" s="82">
        <v>0</v>
      </c>
      <c r="K86" s="83">
        <f t="shared" si="11"/>
        <v>0</v>
      </c>
      <c r="L86" s="84"/>
      <c r="M86" s="85" t="s">
        <v>237</v>
      </c>
      <c r="N86" s="86"/>
      <c r="O86" s="76">
        <v>2</v>
      </c>
      <c r="P86" s="76">
        <f>ТаблицаКорпус[[#This Row],[Высота]]-3</f>
        <v>717</v>
      </c>
      <c r="Q86" s="76">
        <f>ТаблицаКорпус[[#This Row],[Ширина]]-580-3</f>
        <v>317</v>
      </c>
      <c r="R86" s="76">
        <f>ТаблицаКорпус[[#This Row],[Фасад 1 Высота]]</f>
        <v>717</v>
      </c>
      <c r="S86" s="76">
        <f>ТаблицаКорпус[[#This Row],[Фасад 1 Ширина]]</f>
        <v>317</v>
      </c>
      <c r="T86" s="76"/>
      <c r="U86" s="76"/>
      <c r="V86" s="76"/>
      <c r="W86" s="76"/>
      <c r="X86" s="76"/>
    </row>
    <row r="87" spans="2:25" ht="255">
      <c r="B87" s="77"/>
      <c r="C87" s="78"/>
      <c r="D87" s="79" t="s">
        <v>62</v>
      </c>
      <c r="E87" s="80">
        <v>720</v>
      </c>
      <c r="F87" s="80">
        <v>900</v>
      </c>
      <c r="G87" s="80">
        <v>900</v>
      </c>
      <c r="H87" s="80">
        <v>1</v>
      </c>
      <c r="I87" s="81">
        <f>(E87*600*2+F87*G87*(ТаблицаКорпус[[#This Row],[Кол-во полок]]+1)+(E87*2+F87+G87)*200+(G87+F87-600)*70)/1000000*$O$1</f>
        <v>10291.200000000001</v>
      </c>
      <c r="J87" s="82">
        <v>0</v>
      </c>
      <c r="K87" s="83">
        <f t="shared" si="11"/>
        <v>0</v>
      </c>
      <c r="L87" s="84" t="s">
        <v>367</v>
      </c>
      <c r="M87" s="85" t="s">
        <v>238</v>
      </c>
      <c r="N87" s="86"/>
      <c r="O87" s="76">
        <v>1</v>
      </c>
      <c r="P87" s="76">
        <f>ТаблицаКорпус[[#This Row],[Высота]]-3</f>
        <v>717</v>
      </c>
      <c r="Q87" s="76"/>
      <c r="R87" s="76"/>
      <c r="S87" s="76"/>
      <c r="T87" s="76"/>
      <c r="U87" s="76"/>
      <c r="V87" s="76"/>
      <c r="W87" s="76"/>
      <c r="X87" s="76">
        <f>ТаблицаКорпус[[#This Row],[Фасад 1 Высота]]</f>
        <v>717</v>
      </c>
    </row>
    <row r="88" spans="2:25" ht="154.15" customHeight="1">
      <c r="B88" s="77"/>
      <c r="C88" s="78"/>
      <c r="D88" s="79" t="s">
        <v>63</v>
      </c>
      <c r="E88" s="80">
        <v>720</v>
      </c>
      <c r="F88" s="80">
        <v>900</v>
      </c>
      <c r="G88" s="80">
        <v>900</v>
      </c>
      <c r="H88" s="80">
        <v>1</v>
      </c>
      <c r="I88" s="81">
        <f>(E88*600*2+F88*G88*(ТаблицаКорпус[[#This Row],[Кол-во полок]]+1)+(E88*2+F88+G88)*200+(G88+F88-600)*70)/1000000*$O$1</f>
        <v>10291.200000000001</v>
      </c>
      <c r="J88" s="82">
        <v>0</v>
      </c>
      <c r="K88" s="83">
        <f t="shared" si="11"/>
        <v>0</v>
      </c>
      <c r="L88" s="84" t="s">
        <v>367</v>
      </c>
      <c r="M88" s="85" t="s">
        <v>239</v>
      </c>
      <c r="N88" s="86"/>
      <c r="O88" s="76">
        <v>1</v>
      </c>
      <c r="P88" s="76">
        <f>ТаблицаКорпус[[#This Row],[Высота]]-3</f>
        <v>717</v>
      </c>
      <c r="Q88" s="76"/>
      <c r="R88" s="76"/>
      <c r="S88" s="76"/>
      <c r="T88" s="76"/>
      <c r="U88" s="76"/>
      <c r="V88" s="76"/>
      <c r="W88" s="76"/>
      <c r="X88" s="76">
        <f>ТаблицаКорпус[[#This Row],[Фасад 1 Высота]]</f>
        <v>717</v>
      </c>
    </row>
    <row r="89" spans="2:25" ht="154.15" customHeight="1">
      <c r="B89" s="77"/>
      <c r="C89" s="78"/>
      <c r="D89" s="79" t="s">
        <v>64</v>
      </c>
      <c r="E89" s="80">
        <v>720</v>
      </c>
      <c r="F89" s="80">
        <v>900</v>
      </c>
      <c r="G89" s="80">
        <v>900</v>
      </c>
      <c r="H89" s="80">
        <v>1</v>
      </c>
      <c r="I89" s="81">
        <f>(E89*600*2+F89*G89*(ТаблицаКорпус[[#This Row],[Кол-во полок]]+1)+(E89*2+F89+G89)*200+(G89+F89-600)*70)/1000000*$O$1</f>
        <v>10291.200000000001</v>
      </c>
      <c r="J89" s="82">
        <v>0</v>
      </c>
      <c r="K89" s="83">
        <f t="shared" si="11"/>
        <v>0</v>
      </c>
      <c r="L89" s="84" t="s">
        <v>367</v>
      </c>
      <c r="M89" s="85" t="s">
        <v>240</v>
      </c>
      <c r="N89" s="86"/>
      <c r="O89" s="76">
        <v>1</v>
      </c>
      <c r="P89" s="76">
        <f>ТаблицаКорпус[[#This Row],[Высота]]-3</f>
        <v>717</v>
      </c>
      <c r="Q89" s="76"/>
      <c r="R89" s="76"/>
      <c r="S89" s="76"/>
      <c r="T89" s="76"/>
      <c r="U89" s="76"/>
      <c r="V89" s="76"/>
      <c r="W89" s="76"/>
      <c r="X89" s="76">
        <f>ТаблицаКорпус[[#This Row],[Фасад 1 Высота]]</f>
        <v>717</v>
      </c>
    </row>
    <row r="90" spans="2:25" ht="154.15" customHeight="1">
      <c r="B90" s="77"/>
      <c r="C90" s="78"/>
      <c r="D90" s="79" t="s">
        <v>65</v>
      </c>
      <c r="E90" s="80">
        <v>720</v>
      </c>
      <c r="F90" s="80">
        <v>900</v>
      </c>
      <c r="G90" s="80">
        <v>900</v>
      </c>
      <c r="H90" s="80">
        <v>1</v>
      </c>
      <c r="I90" s="81">
        <f>(E90*600*2+F90*G90*(ТаблицаКорпус[[#This Row],[Кол-во полок]]+1)+(E90*2+F90+G90)*200+(G90+F90-600)*70)/1000000*$O$1</f>
        <v>10291.200000000001</v>
      </c>
      <c r="J90" s="82">
        <v>0</v>
      </c>
      <c r="K90" s="83">
        <f t="shared" si="11"/>
        <v>0</v>
      </c>
      <c r="L90" s="84" t="s">
        <v>367</v>
      </c>
      <c r="M90" s="85" t="s">
        <v>241</v>
      </c>
      <c r="N90" s="86"/>
      <c r="O90" s="76">
        <v>1</v>
      </c>
      <c r="P90" s="76">
        <f>ТаблицаКорпус[[#This Row],[Высота]]-3</f>
        <v>717</v>
      </c>
      <c r="Q90" s="76"/>
      <c r="R90" s="76"/>
      <c r="S90" s="76"/>
      <c r="T90" s="76"/>
      <c r="U90" s="76"/>
      <c r="V90" s="76"/>
      <c r="W90" s="76"/>
      <c r="X90" s="76">
        <f>ТаблицаКорпус[[#This Row],[Фасад 1 Высота]]</f>
        <v>717</v>
      </c>
    </row>
    <row r="91" spans="2:25" ht="154.15" customHeight="1">
      <c r="B91" s="77"/>
      <c r="C91" s="78"/>
      <c r="D91" s="79" t="s">
        <v>66</v>
      </c>
      <c r="E91" s="80">
        <v>720</v>
      </c>
      <c r="F91" s="80">
        <v>600</v>
      </c>
      <c r="G91" s="80">
        <v>560</v>
      </c>
      <c r="H91" s="80">
        <v>1</v>
      </c>
      <c r="I91" s="81">
        <f>((E91*2+F91*(ТаблицаКорпус[[#This Row],[Кол-во полок]]+1))*G91+F91*70*2)/1000000*$O$1</f>
        <v>4999.68</v>
      </c>
      <c r="J91" s="82">
        <v>0</v>
      </c>
      <c r="K91" s="83">
        <f t="shared" ref="K91:K111" si="28">I91*J91</f>
        <v>0</v>
      </c>
      <c r="L91" s="84"/>
      <c r="M91" s="85" t="s">
        <v>242</v>
      </c>
      <c r="N91" s="86"/>
      <c r="O91" s="76">
        <v>0</v>
      </c>
      <c r="P91" s="76"/>
      <c r="Q91" s="76"/>
      <c r="R91" s="76"/>
      <c r="S91" s="76"/>
      <c r="T91" s="76"/>
      <c r="U91" s="76"/>
      <c r="V91" s="76"/>
      <c r="W91" s="76"/>
      <c r="X91" s="76"/>
    </row>
    <row r="92" spans="2:25" ht="154.15" customHeight="1">
      <c r="B92" s="77"/>
      <c r="C92" s="78"/>
      <c r="D92" s="79" t="s">
        <v>67</v>
      </c>
      <c r="E92" s="80">
        <v>720</v>
      </c>
      <c r="F92" s="80">
        <v>600</v>
      </c>
      <c r="G92" s="80">
        <v>560</v>
      </c>
      <c r="H92" s="80">
        <v>1</v>
      </c>
      <c r="I92" s="81">
        <f>((E92*2+F92*(ТаблицаКорпус[[#This Row],[Кол-во полок]]+1))*G92+F92*70*2+E92*F92)/1000000*$O$1</f>
        <v>6382.08</v>
      </c>
      <c r="J92" s="82">
        <v>0</v>
      </c>
      <c r="K92" s="83">
        <f t="shared" ref="K92:K93" si="29">I92*J92</f>
        <v>0</v>
      </c>
      <c r="L92" s="84"/>
      <c r="M92" s="85" t="s">
        <v>243</v>
      </c>
      <c r="N92" s="86"/>
      <c r="O92" s="76">
        <v>0</v>
      </c>
      <c r="P92" s="76"/>
      <c r="Q92" s="76"/>
      <c r="R92" s="76"/>
      <c r="S92" s="76"/>
      <c r="T92" s="76"/>
      <c r="U92" s="76"/>
      <c r="V92" s="76"/>
      <c r="W92" s="76"/>
      <c r="X92" s="76"/>
    </row>
    <row r="93" spans="2:25" ht="154.15" customHeight="1">
      <c r="B93" s="77"/>
      <c r="C93" s="78"/>
      <c r="D93" s="79" t="s">
        <v>67</v>
      </c>
      <c r="E93" s="80">
        <v>720</v>
      </c>
      <c r="F93" s="80">
        <v>600</v>
      </c>
      <c r="G93" s="80">
        <v>560</v>
      </c>
      <c r="H93" s="80">
        <v>1</v>
      </c>
      <c r="I93" s="81">
        <f>((E93*2+F93*(ТаблицаКорпус[[#This Row],[Кол-во полок]]+1))*G93+F93*70*2+E93*F93)/1000000*$O$1</f>
        <v>6382.08</v>
      </c>
      <c r="J93" s="82">
        <v>0</v>
      </c>
      <c r="K93" s="83">
        <f t="shared" si="29"/>
        <v>0</v>
      </c>
      <c r="L93" s="84"/>
      <c r="M93" s="85" t="s">
        <v>243</v>
      </c>
      <c r="N93" s="86"/>
      <c r="O93" s="76">
        <v>0</v>
      </c>
      <c r="P93" s="76"/>
      <c r="Q93" s="76"/>
      <c r="R93" s="76"/>
      <c r="S93" s="76"/>
      <c r="T93" s="76"/>
      <c r="U93" s="76"/>
      <c r="V93" s="76"/>
      <c r="W93" s="76"/>
      <c r="X93" s="76"/>
    </row>
    <row r="94" spans="2:25" ht="154.15" customHeight="1">
      <c r="B94" s="77"/>
      <c r="C94" s="78"/>
      <c r="D94" s="79" t="s">
        <v>67</v>
      </c>
      <c r="E94" s="80">
        <v>720</v>
      </c>
      <c r="F94" s="80">
        <v>600</v>
      </c>
      <c r="G94" s="80">
        <v>560</v>
      </c>
      <c r="H94" s="80">
        <v>1</v>
      </c>
      <c r="I94" s="81">
        <f>((E94*2+F94*(ТаблицаКорпус[[#This Row],[Кол-во полок]]+1))*G94+F94*70*2+E94*F94)/1000000*$O$1</f>
        <v>6382.08</v>
      </c>
      <c r="J94" s="82">
        <v>0</v>
      </c>
      <c r="K94" s="83">
        <f t="shared" si="28"/>
        <v>0</v>
      </c>
      <c r="L94" s="84"/>
      <c r="M94" s="85" t="s">
        <v>243</v>
      </c>
      <c r="N94" s="86"/>
      <c r="O94" s="76">
        <v>0</v>
      </c>
      <c r="P94" s="76"/>
      <c r="Q94" s="76"/>
      <c r="R94" s="76"/>
      <c r="S94" s="76"/>
      <c r="T94" s="76"/>
      <c r="U94" s="76"/>
      <c r="V94" s="76"/>
      <c r="W94" s="76"/>
      <c r="X94" s="76"/>
    </row>
    <row r="95" spans="2:25" ht="154.15" customHeight="1">
      <c r="B95" s="77"/>
      <c r="C95" s="78"/>
      <c r="D95" s="79" t="s">
        <v>68</v>
      </c>
      <c r="E95" s="80">
        <v>720</v>
      </c>
      <c r="F95" s="80">
        <v>600</v>
      </c>
      <c r="G95" s="80">
        <v>560</v>
      </c>
      <c r="H95" s="80">
        <v>0</v>
      </c>
      <c r="I95" s="81">
        <f>((E95*2+F95*(ТаблицаКорпус[[#This Row],[Кол-во полок]]+1))*G95+F95*(140+500+250))/1000000*$O$1</f>
        <v>5364.48</v>
      </c>
      <c r="J95" s="82">
        <v>0</v>
      </c>
      <c r="K95" s="83">
        <f t="shared" si="28"/>
        <v>0</v>
      </c>
      <c r="L95" s="84"/>
      <c r="M95" s="85" t="s">
        <v>244</v>
      </c>
      <c r="N95" s="86"/>
      <c r="O95" s="76">
        <v>1</v>
      </c>
      <c r="P95" s="76">
        <f>ТаблицаКорпус[[#This Row],[Высота]]-380-3</f>
        <v>337</v>
      </c>
      <c r="Q95" s="76">
        <f>ТаблицаКорпус[[#This Row],[Ширина]]-3</f>
        <v>597</v>
      </c>
      <c r="R95" s="76"/>
      <c r="S95" s="76"/>
      <c r="T95" s="76"/>
      <c r="U95" s="76"/>
      <c r="V95" s="76"/>
      <c r="W95" s="76"/>
      <c r="X95" s="76"/>
    </row>
    <row r="96" spans="2:25" ht="154.15" customHeight="1">
      <c r="B96" s="77"/>
      <c r="C96" s="78"/>
      <c r="D96" s="79" t="s">
        <v>69</v>
      </c>
      <c r="E96" s="80">
        <v>720</v>
      </c>
      <c r="F96" s="80">
        <v>900</v>
      </c>
      <c r="G96" s="80">
        <v>560</v>
      </c>
      <c r="H96" s="80">
        <v>0</v>
      </c>
      <c r="I96" s="81">
        <f>((E96+775)*2*550+F96*G96+450*700*2)/1000000*$O$1</f>
        <v>8891.2000000000007</v>
      </c>
      <c r="J96" s="82">
        <v>0</v>
      </c>
      <c r="K96" s="83">
        <f t="shared" si="28"/>
        <v>0</v>
      </c>
      <c r="L96" s="84"/>
      <c r="M96" s="85" t="s">
        <v>245</v>
      </c>
      <c r="N96" s="86"/>
      <c r="O96" s="76">
        <v>1</v>
      </c>
      <c r="P96" s="76">
        <f>ТаблицаКорпус[[#This Row],[Высота]]-600-3</f>
        <v>117</v>
      </c>
      <c r="Q96" s="76">
        <f>597</f>
        <v>597</v>
      </c>
      <c r="R96" s="76"/>
      <c r="S96" s="76"/>
      <c r="T96" s="76"/>
      <c r="U96" s="76"/>
      <c r="V96" s="76"/>
      <c r="W96" s="76"/>
      <c r="X96" s="76"/>
    </row>
    <row r="97" spans="1:24" ht="154.15" customHeight="1">
      <c r="B97" s="77"/>
      <c r="C97" s="78"/>
      <c r="D97" s="79" t="s">
        <v>79</v>
      </c>
      <c r="E97" s="80">
        <v>720</v>
      </c>
      <c r="F97" s="80">
        <v>600</v>
      </c>
      <c r="G97" s="80">
        <v>560</v>
      </c>
      <c r="H97" s="80">
        <v>0</v>
      </c>
      <c r="I97" s="81">
        <f>((E97*2+F97*(ТаблицаКорпус[[#This Row],[Кол-во полок]]+1))*G97+F97*600)/1000000*$O$1</f>
        <v>4807.68</v>
      </c>
      <c r="J97" s="82">
        <v>0</v>
      </c>
      <c r="K97" s="83">
        <f t="shared" si="28"/>
        <v>0</v>
      </c>
      <c r="L97" s="84"/>
      <c r="M97" s="85" t="s">
        <v>246</v>
      </c>
      <c r="N97" s="86"/>
      <c r="O97" s="76">
        <v>1</v>
      </c>
      <c r="P97" s="76">
        <f>ТаблицаКорпус[[#This Row],[Высота]]-600-3</f>
        <v>117</v>
      </c>
      <c r="Q97" s="87">
        <f>ТаблицаКорпус[[#This Row],[Ширина]]-3</f>
        <v>597</v>
      </c>
      <c r="R97" s="76"/>
      <c r="S97" s="76"/>
      <c r="T97" s="76"/>
      <c r="U97" s="76"/>
      <c r="V97" s="76"/>
      <c r="W97" s="76"/>
      <c r="X97" s="76"/>
    </row>
    <row r="98" spans="1:24" ht="229.5">
      <c r="B98" s="77"/>
      <c r="C98" s="78"/>
      <c r="D98" s="79" t="s">
        <v>70</v>
      </c>
      <c r="E98" s="80">
        <v>720</v>
      </c>
      <c r="F98" s="80">
        <v>150</v>
      </c>
      <c r="G98" s="80">
        <v>560</v>
      </c>
      <c r="H98" s="80">
        <v>1</v>
      </c>
      <c r="I98" s="81">
        <f>((E98+F98*(ТаблицаКорпус[[#This Row],[Кол-во полок]]+2))*G98+E98*F98)/1000000*$O$1</f>
        <v>2442.2399999999998</v>
      </c>
      <c r="J98" s="82">
        <v>0</v>
      </c>
      <c r="K98" s="83">
        <f t="shared" si="28"/>
        <v>0</v>
      </c>
      <c r="L98" s="84" t="s">
        <v>368</v>
      </c>
      <c r="M98" s="85" t="s">
        <v>247</v>
      </c>
      <c r="N98" s="86"/>
      <c r="O98" s="76">
        <v>1</v>
      </c>
      <c r="P98" s="87">
        <f>ТаблицаКорпус[[#This Row],[Высота]]-3</f>
        <v>717</v>
      </c>
      <c r="Q98" s="76"/>
      <c r="R98" s="76"/>
      <c r="S98" s="76"/>
      <c r="T98" s="76"/>
      <c r="U98" s="76"/>
      <c r="V98" s="76"/>
      <c r="W98" s="76"/>
      <c r="X98" s="87">
        <f>ТаблицаКорпус[[#This Row],[Фасад 1 Высота]]</f>
        <v>717</v>
      </c>
    </row>
    <row r="99" spans="1:24" ht="154.15" customHeight="1">
      <c r="B99" s="77"/>
      <c r="C99" s="78"/>
      <c r="D99" s="79" t="s">
        <v>71</v>
      </c>
      <c r="E99" s="80">
        <v>720</v>
      </c>
      <c r="F99" s="80">
        <v>300</v>
      </c>
      <c r="G99" s="80">
        <v>560</v>
      </c>
      <c r="H99" s="80">
        <v>1</v>
      </c>
      <c r="I99" s="81">
        <f>((E99+F99*3)*G99+E99*F99)/1000000*$O$1</f>
        <v>3594.24</v>
      </c>
      <c r="J99" s="82">
        <v>0</v>
      </c>
      <c r="K99" s="83">
        <f t="shared" si="28"/>
        <v>0</v>
      </c>
      <c r="L99" s="84" t="s">
        <v>368</v>
      </c>
      <c r="M99" s="85" t="s">
        <v>248</v>
      </c>
      <c r="N99" s="86"/>
      <c r="O99" s="76">
        <v>1</v>
      </c>
      <c r="P99" s="76">
        <f>ТаблицаКорпус[[#This Row],[Высота]]-3</f>
        <v>717</v>
      </c>
      <c r="Q99" s="76">
        <f>ТаблицаКорпус[[#This Row],[Глубина]]-300-3</f>
        <v>257</v>
      </c>
      <c r="R99" s="76"/>
      <c r="S99" s="76"/>
      <c r="T99" s="76"/>
      <c r="U99" s="76"/>
      <c r="V99" s="76"/>
      <c r="W99" s="76"/>
      <c r="X99" s="76">
        <f>ТаблицаКорпус[[#This Row],[Фасад 1 Высота]]</f>
        <v>717</v>
      </c>
    </row>
    <row r="100" spans="1:24" ht="229.5">
      <c r="B100" s="77"/>
      <c r="C100" s="78"/>
      <c r="D100" s="79" t="s">
        <v>72</v>
      </c>
      <c r="E100" s="80">
        <v>720</v>
      </c>
      <c r="F100" s="80">
        <v>300</v>
      </c>
      <c r="G100" s="80">
        <v>560</v>
      </c>
      <c r="H100" s="80">
        <v>1</v>
      </c>
      <c r="I100" s="81">
        <f>((E100+F100*(ТаблицаКорпус[[#This Row],[Кол-во полок]]+2))*G100+E100*(F100+100))/1000000*$O$1</f>
        <v>3824.6400000000003</v>
      </c>
      <c r="J100" s="82">
        <v>0</v>
      </c>
      <c r="K100" s="83">
        <f t="shared" si="28"/>
        <v>0</v>
      </c>
      <c r="L100" s="84" t="s">
        <v>368</v>
      </c>
      <c r="M100" s="85" t="s">
        <v>249</v>
      </c>
      <c r="N100" s="86"/>
      <c r="O100" s="76">
        <v>1</v>
      </c>
      <c r="P100" s="76">
        <f>ТаблицаКорпус[[#This Row],[Высота]]-3</f>
        <v>717</v>
      </c>
      <c r="Q100" s="76">
        <f>ТаблицаКорпус[[#This Row],[Глубина]]-300-3</f>
        <v>257</v>
      </c>
      <c r="R100" s="76"/>
      <c r="S100" s="76"/>
      <c r="T100" s="76"/>
      <c r="U100" s="76"/>
      <c r="V100" s="76"/>
      <c r="W100" s="76"/>
      <c r="X100" s="76">
        <f>ТаблицаКорпус[[#This Row],[Фасад 1 Высота]]</f>
        <v>717</v>
      </c>
    </row>
    <row r="101" spans="1:24" ht="229.5">
      <c r="B101" s="77"/>
      <c r="C101" s="78"/>
      <c r="D101" s="79" t="s">
        <v>73</v>
      </c>
      <c r="E101" s="80">
        <v>720</v>
      </c>
      <c r="F101" s="80">
        <v>300</v>
      </c>
      <c r="G101" s="80">
        <v>560</v>
      </c>
      <c r="H101" s="80">
        <v>1</v>
      </c>
      <c r="I101" s="81">
        <f>((E101+F101*(ТаблицаКорпус[[#This Row],[Кол-во полок]]+2))*G101+E101*F101)/1000000*$O$1</f>
        <v>3594.24</v>
      </c>
      <c r="J101" s="82">
        <v>0</v>
      </c>
      <c r="K101" s="83">
        <f t="shared" si="28"/>
        <v>0</v>
      </c>
      <c r="L101" s="84" t="s">
        <v>368</v>
      </c>
      <c r="M101" s="85" t="s">
        <v>250</v>
      </c>
      <c r="N101" s="86"/>
      <c r="O101" s="76">
        <v>1</v>
      </c>
      <c r="P101" s="76">
        <f>ТаблицаКорпус[[#This Row],[Высота]]-3</f>
        <v>717</v>
      </c>
      <c r="Q101" s="76">
        <f>ТаблицаКорпус[[#This Row],[Глубина]]-300-3</f>
        <v>257</v>
      </c>
      <c r="R101" s="76"/>
      <c r="S101" s="76"/>
      <c r="T101" s="76"/>
      <c r="U101" s="76"/>
      <c r="V101" s="76"/>
      <c r="W101" s="76"/>
      <c r="X101" s="76">
        <f>ТаблицаКорпус[[#This Row],[Фасад 1 Высота]]</f>
        <v>717</v>
      </c>
    </row>
    <row r="102" spans="1:24" ht="229.5">
      <c r="B102" s="77"/>
      <c r="C102" s="78"/>
      <c r="D102" s="79" t="s">
        <v>74</v>
      </c>
      <c r="E102" s="80">
        <v>720</v>
      </c>
      <c r="F102" s="80">
        <v>300</v>
      </c>
      <c r="G102" s="80">
        <v>560</v>
      </c>
      <c r="H102" s="80">
        <v>1</v>
      </c>
      <c r="I102" s="81">
        <f>((E102+F102*(ТаблицаКорпус[[#This Row],[Кол-во полок]]+2))*G102+E102*(F102+100))/1000000*$O$1</f>
        <v>3824.6400000000003</v>
      </c>
      <c r="J102" s="82">
        <v>0</v>
      </c>
      <c r="K102" s="83">
        <f t="shared" si="28"/>
        <v>0</v>
      </c>
      <c r="L102" s="84" t="s">
        <v>368</v>
      </c>
      <c r="M102" s="85" t="s">
        <v>251</v>
      </c>
      <c r="N102" s="86"/>
      <c r="O102" s="76">
        <v>1</v>
      </c>
      <c r="P102" s="76">
        <f>ТаблицаКорпус[[#This Row],[Высота]]-3</f>
        <v>717</v>
      </c>
      <c r="Q102" s="76">
        <f>ТаблицаКорпус[[#This Row],[Глубина]]-300-3</f>
        <v>257</v>
      </c>
      <c r="R102" s="76"/>
      <c r="S102" s="76"/>
      <c r="T102" s="76"/>
      <c r="U102" s="76"/>
      <c r="V102" s="76"/>
      <c r="W102" s="76"/>
      <c r="X102" s="76">
        <f>ТаблицаКорпус[[#This Row],[Фасад 1 Высота]]</f>
        <v>717</v>
      </c>
    </row>
    <row r="103" spans="1:24" ht="154.15" customHeight="1">
      <c r="B103" s="77"/>
      <c r="C103" s="78"/>
      <c r="D103" s="79" t="s">
        <v>75</v>
      </c>
      <c r="E103" s="80">
        <v>720</v>
      </c>
      <c r="F103" s="80">
        <v>300</v>
      </c>
      <c r="G103" s="80">
        <v>560</v>
      </c>
      <c r="H103" s="80">
        <v>1</v>
      </c>
      <c r="I103" s="81">
        <f>((E103+F103*(ТаблицаКорпус[[#This Row],[Кол-во полок]]+2))*G103+E103*F103)/1000000*$O$1</f>
        <v>3594.24</v>
      </c>
      <c r="J103" s="82">
        <v>0</v>
      </c>
      <c r="K103" s="83">
        <f t="shared" si="28"/>
        <v>0</v>
      </c>
      <c r="L103" s="84"/>
      <c r="M103" s="85" t="s">
        <v>252</v>
      </c>
      <c r="N103" s="86"/>
      <c r="O103" s="76">
        <v>0</v>
      </c>
      <c r="P103" s="76"/>
      <c r="Q103" s="76"/>
      <c r="R103" s="76">
        <f>ТаблицаКорпус[[#This Row],[Фасад 1 Высота]]</f>
        <v>0</v>
      </c>
      <c r="S103" s="76"/>
      <c r="T103" s="76">
        <f>ТаблицаКорпус[[#This Row],[Фасад 1 Высота]]</f>
        <v>0</v>
      </c>
      <c r="U103" s="76"/>
      <c r="V103" s="76">
        <f>ТаблицаКорпус[[#This Row],[Фасад 1 Высота]]</f>
        <v>0</v>
      </c>
      <c r="W103" s="76"/>
      <c r="X103" s="76"/>
    </row>
    <row r="104" spans="1:24" ht="154.15" customHeight="1">
      <c r="B104" s="77"/>
      <c r="C104" s="78"/>
      <c r="D104" s="79" t="s">
        <v>76</v>
      </c>
      <c r="E104" s="80">
        <v>720</v>
      </c>
      <c r="F104" s="80">
        <v>300</v>
      </c>
      <c r="G104" s="80">
        <v>560</v>
      </c>
      <c r="H104" s="80">
        <v>1</v>
      </c>
      <c r="I104" s="81">
        <f>((E104+F104*(ТаблицаКорпус[[#This Row],[Кол-во полок]]+2))*G104+E104*F104)/1000000*$O$1</f>
        <v>3594.24</v>
      </c>
      <c r="J104" s="82">
        <v>0</v>
      </c>
      <c r="K104" s="83">
        <f t="shared" si="28"/>
        <v>0</v>
      </c>
      <c r="L104" s="84"/>
      <c r="M104" s="85" t="s">
        <v>253</v>
      </c>
      <c r="N104" s="86"/>
      <c r="O104" s="76">
        <v>0</v>
      </c>
      <c r="P104" s="76"/>
      <c r="Q104" s="76"/>
      <c r="R104" s="76">
        <f>ТаблицаКорпус[[#This Row],[Фасад 1 Высота]]</f>
        <v>0</v>
      </c>
      <c r="S104" s="76"/>
      <c r="T104" s="76">
        <f>ТаблицаКорпус[[#This Row],[Фасад 1 Высота]]</f>
        <v>0</v>
      </c>
      <c r="U104" s="76"/>
      <c r="V104" s="76">
        <f>ТаблицаКорпус[[#This Row],[Фасад 1 Высота]]</f>
        <v>0</v>
      </c>
      <c r="W104" s="76"/>
      <c r="X104" s="76"/>
    </row>
    <row r="105" spans="1:24" ht="154.15" customHeight="1">
      <c r="B105" s="77"/>
      <c r="C105" s="78"/>
      <c r="D105" s="79" t="s">
        <v>77</v>
      </c>
      <c r="E105" s="80">
        <v>720</v>
      </c>
      <c r="F105" s="80">
        <v>300</v>
      </c>
      <c r="G105" s="80">
        <v>560</v>
      </c>
      <c r="H105" s="80">
        <v>1</v>
      </c>
      <c r="I105" s="81">
        <f>((E105+F105*(ТаблицаКорпус[[#This Row],[Кол-во полок]]+2))*G105+E105*F105)/1000000*$O$1</f>
        <v>3594.24</v>
      </c>
      <c r="J105" s="82">
        <v>0</v>
      </c>
      <c r="K105" s="83">
        <f t="shared" si="28"/>
        <v>0</v>
      </c>
      <c r="L105" s="84"/>
      <c r="M105" s="85" t="s">
        <v>254</v>
      </c>
      <c r="N105" s="86"/>
      <c r="O105" s="76">
        <v>0</v>
      </c>
      <c r="P105" s="76"/>
      <c r="Q105" s="76"/>
      <c r="R105" s="76">
        <f>ТаблицаКорпус[[#This Row],[Фасад 1 Высота]]</f>
        <v>0</v>
      </c>
      <c r="S105" s="76"/>
      <c r="T105" s="76">
        <f>ТаблицаКорпус[[#This Row],[Фасад 1 Высота]]</f>
        <v>0</v>
      </c>
      <c r="U105" s="76"/>
      <c r="V105" s="76">
        <f>ТаблицаКорпус[[#This Row],[Фасад 1 Высота]]</f>
        <v>0</v>
      </c>
      <c r="W105" s="76"/>
      <c r="X105" s="76"/>
    </row>
    <row r="106" spans="1:24" ht="154.15" customHeight="1">
      <c r="B106" s="77"/>
      <c r="C106" s="78"/>
      <c r="D106" s="79" t="s">
        <v>78</v>
      </c>
      <c r="E106" s="80">
        <v>1320</v>
      </c>
      <c r="F106" s="80">
        <v>600</v>
      </c>
      <c r="G106" s="80">
        <v>560</v>
      </c>
      <c r="H106" s="80">
        <v>1</v>
      </c>
      <c r="I106" s="81">
        <f>((E106*2+F106*(ТаблицаКорпус[[#This Row],[Кол-во полок]]+2))*G106+F106*(500+100+140))/1000000*$O$1</f>
        <v>9377.2800000000007</v>
      </c>
      <c r="J106" s="82">
        <v>0</v>
      </c>
      <c r="K106" s="83">
        <f t="shared" si="28"/>
        <v>0</v>
      </c>
      <c r="L106" s="84"/>
      <c r="M106" s="85" t="s">
        <v>255</v>
      </c>
      <c r="N106" s="86"/>
      <c r="O106" s="76">
        <v>2</v>
      </c>
      <c r="P106" s="76">
        <v>50</v>
      </c>
      <c r="Q106" s="76">
        <f>ТаблицаКорпус[[#This Row],[Ширина]]-3</f>
        <v>597</v>
      </c>
      <c r="R106" s="76">
        <f>(ТаблицаКорпус[[#This Row],[Высота]]-608)-ТаблицаКорпус[[#This Row],[Фасад 1 Высота]]-3</f>
        <v>659</v>
      </c>
      <c r="S106" s="76">
        <f>ТаблицаКорпус[[#This Row],[Ширина]]-3</f>
        <v>597</v>
      </c>
      <c r="T106" s="76"/>
      <c r="U106" s="76"/>
      <c r="V106" s="76"/>
      <c r="W106" s="76"/>
      <c r="X106" s="76"/>
    </row>
    <row r="107" spans="1:24" ht="154.15" customHeight="1">
      <c r="B107" s="77"/>
      <c r="C107" s="78"/>
      <c r="D107" s="79" t="s">
        <v>80</v>
      </c>
      <c r="E107" s="80">
        <v>1320</v>
      </c>
      <c r="F107" s="80">
        <v>600</v>
      </c>
      <c r="G107" s="80">
        <v>560</v>
      </c>
      <c r="H107" s="80">
        <v>0</v>
      </c>
      <c r="I107" s="81">
        <f>((E107*2+F107*(ТаблицаКорпус[[#This Row],[Кол-во полок]]+2))*G107+F107*(1000+500+140))/1000000*$O$1</f>
        <v>10030.08</v>
      </c>
      <c r="J107" s="82">
        <v>0</v>
      </c>
      <c r="K107" s="83">
        <f t="shared" si="28"/>
        <v>0</v>
      </c>
      <c r="L107" s="84"/>
      <c r="M107" s="85" t="s">
        <v>256</v>
      </c>
      <c r="N107" s="86"/>
      <c r="O107" s="76">
        <v>2</v>
      </c>
      <c r="P107" s="76">
        <f>(ТаблицаКорпус[[#This Row],[Высота]]-608)/2-3</f>
        <v>353</v>
      </c>
      <c r="Q107" s="76">
        <f>ТаблицаКорпус[[#This Row],[Ширина]]-3</f>
        <v>597</v>
      </c>
      <c r="R107" s="76">
        <f>ТаблицаКорпус[[#This Row],[Фасад 1 Высота]]</f>
        <v>353</v>
      </c>
      <c r="S107" s="76">
        <f>ТаблицаКорпус[[#This Row],[Ширина]]-3</f>
        <v>597</v>
      </c>
      <c r="T107" s="76"/>
      <c r="U107" s="76"/>
      <c r="V107" s="76"/>
      <c r="W107" s="76"/>
      <c r="X107" s="76"/>
    </row>
    <row r="108" spans="1:24" ht="154.15" customHeight="1">
      <c r="B108" s="77"/>
      <c r="C108" s="78"/>
      <c r="D108" s="79" t="s">
        <v>81</v>
      </c>
      <c r="E108" s="80">
        <v>1320</v>
      </c>
      <c r="F108" s="80">
        <v>600</v>
      </c>
      <c r="G108" s="80">
        <v>560</v>
      </c>
      <c r="H108" s="80">
        <v>0</v>
      </c>
      <c r="I108" s="81">
        <f>((E108*2+F108*(ТаблицаКорпус[[#This Row],[Кол-во полок]]+2))*G108+F108*(1500+550+140))/1000000*$O$1</f>
        <v>11086.08</v>
      </c>
      <c r="J108" s="82">
        <v>0</v>
      </c>
      <c r="K108" s="83">
        <f t="shared" si="28"/>
        <v>0</v>
      </c>
      <c r="L108" s="84"/>
      <c r="M108" s="85" t="s">
        <v>257</v>
      </c>
      <c r="N108" s="86"/>
      <c r="O108" s="76">
        <v>3</v>
      </c>
      <c r="P108" s="76">
        <v>50</v>
      </c>
      <c r="Q108" s="76">
        <f>ТаблицаКорпус[[#This Row],[Ширина]]-3</f>
        <v>597</v>
      </c>
      <c r="R108" s="76">
        <f>(ТаблицаКорпус[[#This Row],[Высота]]-608-ТаблицаКорпус[[#This Row],[Фасад 1 Высота]])/2-3</f>
        <v>328</v>
      </c>
      <c r="S108" s="76">
        <f>ТаблицаКорпус[[#This Row],[Ширина]]-3</f>
        <v>597</v>
      </c>
      <c r="T108" s="76">
        <f>ТаблицаКорпус[[#This Row],[Фасад 2 Высота]]</f>
        <v>328</v>
      </c>
      <c r="U108" s="76">
        <f>ТаблицаКорпус[[#This Row],[Ширина]]-3</f>
        <v>597</v>
      </c>
      <c r="V108" s="76"/>
      <c r="W108" s="76"/>
      <c r="X108" s="76"/>
    </row>
    <row r="109" spans="1:24" ht="154.15" customHeight="1">
      <c r="B109" s="77"/>
      <c r="C109" s="78"/>
      <c r="D109" s="79" t="s">
        <v>82</v>
      </c>
      <c r="E109" s="80">
        <v>1320</v>
      </c>
      <c r="F109" s="80">
        <v>600</v>
      </c>
      <c r="G109" s="80">
        <v>560</v>
      </c>
      <c r="H109" s="80">
        <v>0</v>
      </c>
      <c r="I109" s="81">
        <f>((E109*2+F109*(ТаблицаКорпус[[#This Row],[Кол-во полок]]+2))*G109+F109*(500+250+140))/1000000*$O$1</f>
        <v>8590.08</v>
      </c>
      <c r="J109" s="82">
        <v>0</v>
      </c>
      <c r="K109" s="83">
        <f t="shared" si="28"/>
        <v>0</v>
      </c>
      <c r="L109" s="84"/>
      <c r="M109" s="85" t="s">
        <v>258</v>
      </c>
      <c r="N109" s="86"/>
      <c r="O109" s="76">
        <v>1</v>
      </c>
      <c r="P109" s="76">
        <f>ТаблицаКорпус[[#This Row],[Высота]]-608-3</f>
        <v>709</v>
      </c>
      <c r="Q109" s="76">
        <f>ТаблицаКорпус[[#This Row],[Ширина]]-3</f>
        <v>597</v>
      </c>
      <c r="R109" s="76"/>
      <c r="S109" s="76"/>
      <c r="T109" s="76"/>
      <c r="U109" s="76"/>
      <c r="V109" s="76"/>
      <c r="W109" s="76"/>
      <c r="X109" s="76"/>
    </row>
    <row r="110" spans="1:24" ht="154.15" customHeight="1">
      <c r="B110" s="77"/>
      <c r="C110" s="78"/>
      <c r="D110" s="79" t="s">
        <v>180</v>
      </c>
      <c r="E110" s="80">
        <v>720</v>
      </c>
      <c r="F110" s="80">
        <v>600</v>
      </c>
      <c r="G110" s="80">
        <v>560</v>
      </c>
      <c r="H110" s="80">
        <v>0</v>
      </c>
      <c r="I110" s="81">
        <v>0</v>
      </c>
      <c r="J110" s="82">
        <v>0</v>
      </c>
      <c r="K110" s="83">
        <f t="shared" ref="K110" si="30">I110*J110</f>
        <v>0</v>
      </c>
      <c r="L110" s="84" t="s">
        <v>181</v>
      </c>
      <c r="M110" s="85" t="s">
        <v>259</v>
      </c>
      <c r="N110" s="86"/>
      <c r="O110" s="76">
        <v>1</v>
      </c>
      <c r="P110" s="76">
        <f>ТаблицаКорпус[[#This Row],[Высота]]-3</f>
        <v>717</v>
      </c>
      <c r="Q110" s="76">
        <f>ТаблицаКорпус[[#This Row],[Ширина]]-3</f>
        <v>597</v>
      </c>
      <c r="R110" s="76"/>
      <c r="S110" s="76"/>
      <c r="T110" s="76"/>
      <c r="U110" s="76"/>
      <c r="V110" s="76"/>
      <c r="W110" s="76"/>
      <c r="X110" s="76"/>
    </row>
    <row r="111" spans="1:24" ht="154.15" customHeight="1">
      <c r="B111" s="77"/>
      <c r="C111" s="78"/>
      <c r="D111" s="79" t="s">
        <v>180</v>
      </c>
      <c r="E111" s="80">
        <v>720</v>
      </c>
      <c r="F111" s="80">
        <v>600</v>
      </c>
      <c r="G111" s="80">
        <v>560</v>
      </c>
      <c r="H111" s="80">
        <v>0</v>
      </c>
      <c r="I111" s="81">
        <v>0</v>
      </c>
      <c r="J111" s="82">
        <v>0</v>
      </c>
      <c r="K111" s="83">
        <f t="shared" si="28"/>
        <v>0</v>
      </c>
      <c r="L111" s="84" t="s">
        <v>181</v>
      </c>
      <c r="M111" s="85" t="s">
        <v>259</v>
      </c>
      <c r="N111" s="86"/>
      <c r="O111" s="76">
        <v>1</v>
      </c>
      <c r="P111" s="76">
        <f>ТаблицаКорпус[[#This Row],[Высота]]-3</f>
        <v>717</v>
      </c>
      <c r="Q111" s="76">
        <f>ТаблицаКорпус[[#This Row],[Ширина]]-3</f>
        <v>597</v>
      </c>
      <c r="R111" s="76"/>
      <c r="S111" s="76"/>
      <c r="T111" s="76"/>
      <c r="U111" s="76"/>
      <c r="V111" s="76"/>
      <c r="W111" s="76"/>
      <c r="X111" s="76"/>
    </row>
    <row r="112" spans="1:24">
      <c r="A112" s="70" t="s">
        <v>83</v>
      </c>
      <c r="B112" s="88"/>
      <c r="C112" s="72"/>
      <c r="D112" s="72"/>
      <c r="E112" s="89"/>
      <c r="F112" s="89"/>
      <c r="G112" s="89"/>
      <c r="H112" s="90"/>
      <c r="I112" s="74"/>
      <c r="J112" s="89"/>
      <c r="K112" s="75"/>
      <c r="L112" s="91"/>
      <c r="M112" s="91"/>
      <c r="N112" s="92"/>
      <c r="O112" s="76"/>
      <c r="P112" s="76"/>
      <c r="Q112" s="76"/>
      <c r="R112" s="76">
        <f>ТаблицаКорпус[[#This Row],[Фасад 1 Высота]]</f>
        <v>0</v>
      </c>
      <c r="S112" s="76"/>
      <c r="T112" s="76">
        <f>ТаблицаКорпус[[#This Row],[Фасад 1 Высота]]</f>
        <v>0</v>
      </c>
      <c r="U112" s="76"/>
      <c r="V112" s="76">
        <f>ТаблицаКорпус[[#This Row],[Фасад 1 Высота]]</f>
        <v>0</v>
      </c>
      <c r="W112" s="76"/>
      <c r="X112" s="76"/>
    </row>
    <row r="113" spans="1:24" ht="154.15" customHeight="1">
      <c r="A113" s="93"/>
      <c r="B113" s="88"/>
      <c r="C113" s="78"/>
      <c r="D113" s="79" t="s">
        <v>84</v>
      </c>
      <c r="E113" s="80">
        <v>2100</v>
      </c>
      <c r="F113" s="80">
        <v>600</v>
      </c>
      <c r="G113" s="80">
        <v>580</v>
      </c>
      <c r="H113" s="80">
        <v>2</v>
      </c>
      <c r="I113" s="81">
        <f>((E113*1+F113*(ТаблицаКорпус[[#This Row],[Кол-во полок]]+4))*G113+F113*(1000+500))/1000000*$O$1+4*$P$1</f>
        <v>14179.2</v>
      </c>
      <c r="J113" s="82">
        <v>0</v>
      </c>
      <c r="K113" s="83">
        <f t="shared" ref="K113:K141" si="31">I113*J113</f>
        <v>0</v>
      </c>
      <c r="L113" s="84"/>
      <c r="M113" s="85" t="s">
        <v>260</v>
      </c>
      <c r="N113" s="86"/>
      <c r="O113" s="76">
        <v>3</v>
      </c>
      <c r="P113" s="76">
        <f>ТаблицаКорпус[[#This Row],[Высота]]-600-780-3</f>
        <v>717</v>
      </c>
      <c r="Q113" s="76">
        <f>ТаблицаКорпус[[#This Row],[Ширина]]-3</f>
        <v>597</v>
      </c>
      <c r="R113" s="76">
        <f>(ТаблицаКорпус[[#This Row],[Высота]]-ТаблицаКорпус[[#This Row],[Фасад 1 Высота]]-3-600)-780/2-30</f>
        <v>360</v>
      </c>
      <c r="S113" s="76">
        <f>ТаблицаКорпус[[#This Row],[Ширина]]-3</f>
        <v>597</v>
      </c>
      <c r="T113" s="76">
        <f>(ТаблицаКорпус[[#This Row],[Высота]]-ТаблицаКорпус[[#This Row],[Фасад 1 Высота]]-3-600)-780/2-30</f>
        <v>360</v>
      </c>
      <c r="U113" s="76">
        <f>ТаблицаКорпус[[#This Row],[Ширина]]-3</f>
        <v>597</v>
      </c>
      <c r="V113" s="76"/>
      <c r="W113" s="76"/>
      <c r="X113" s="76"/>
    </row>
    <row r="114" spans="1:24" ht="154.15" customHeight="1">
      <c r="B114" s="94"/>
      <c r="C114" s="78"/>
      <c r="D114" s="79" t="s">
        <v>85</v>
      </c>
      <c r="E114" s="80">
        <v>2100</v>
      </c>
      <c r="F114" s="80">
        <v>600</v>
      </c>
      <c r="G114" s="80">
        <v>580</v>
      </c>
      <c r="H114" s="80">
        <v>2</v>
      </c>
      <c r="I114" s="81">
        <f>((E114*2+F114*(ТаблицаКорпус[[#This Row],[Кол-во полок]]+4))*G114+F114*(1500+450))/1000000*$O$1+4*$P$1</f>
        <v>18940.8</v>
      </c>
      <c r="J114" s="82">
        <v>0</v>
      </c>
      <c r="K114" s="83">
        <f t="shared" si="31"/>
        <v>0</v>
      </c>
      <c r="L114" s="84"/>
      <c r="M114" s="85" t="s">
        <v>261</v>
      </c>
      <c r="N114" s="86"/>
      <c r="O114" s="76">
        <v>3</v>
      </c>
      <c r="P114" s="76">
        <f>ТаблицаКорпус[[#This Row],[Высота]]-600-780-3</f>
        <v>717</v>
      </c>
      <c r="Q114" s="76">
        <f>ТаблицаКорпус[[#This Row],[Ширина]]-3</f>
        <v>597</v>
      </c>
      <c r="R114" s="76">
        <f>(ТаблицаКорпус[[#This Row],[Высота]]-ТаблицаКорпус[[#This Row],[Фасад 1 Высота]]-3-600)-780/2-30</f>
        <v>360</v>
      </c>
      <c r="S114" s="76">
        <f>ТаблицаКорпус[[#This Row],[Ширина]]-3</f>
        <v>597</v>
      </c>
      <c r="T114" s="76">
        <f>(ТаблицаКорпус[[#This Row],[Высота]]-ТаблицаКорпус[[#This Row],[Фасад 1 Высота]]-3-600)-780/2-30</f>
        <v>360</v>
      </c>
      <c r="U114" s="76">
        <f>ТаблицаКорпус[[#This Row],[Ширина]]-3</f>
        <v>597</v>
      </c>
      <c r="V114" s="76"/>
      <c r="W114" s="76"/>
      <c r="X114" s="76"/>
    </row>
    <row r="115" spans="1:24" ht="154.15" customHeight="1">
      <c r="B115" s="94"/>
      <c r="C115" s="78"/>
      <c r="D115" s="79" t="s">
        <v>86</v>
      </c>
      <c r="E115" s="80">
        <v>2100</v>
      </c>
      <c r="F115" s="80">
        <v>600</v>
      </c>
      <c r="G115" s="80">
        <v>580</v>
      </c>
      <c r="H115" s="80">
        <v>2</v>
      </c>
      <c r="I115" s="81">
        <f>((E115*2+F115*(ТаблицаКорпус[[#This Row],[Кол-во полок]]+4))*G115+F115*(1000+500))/1000000*$O$1+2*$P$1</f>
        <v>17716.800000000003</v>
      </c>
      <c r="J115" s="82">
        <v>0</v>
      </c>
      <c r="K115" s="83">
        <f t="shared" si="31"/>
        <v>0</v>
      </c>
      <c r="L115" s="84"/>
      <c r="M115" s="85" t="s">
        <v>262</v>
      </c>
      <c r="N115" s="86"/>
      <c r="O115" s="76">
        <v>3</v>
      </c>
      <c r="P115" s="76">
        <f>ТаблицаКорпус[[#This Row],[Высота]]-600-780-3</f>
        <v>717</v>
      </c>
      <c r="Q115" s="76">
        <f>ТаблицаКорпус[[#This Row],[Ширина]]-3</f>
        <v>597</v>
      </c>
      <c r="R115" s="76">
        <f>(ТаблицаКорпус[[#This Row],[Высота]]-ТаблицаКорпус[[#This Row],[Фасад 1 Высота]]-3-600)-780/2-30</f>
        <v>360</v>
      </c>
      <c r="S115" s="76">
        <f>ТаблицаКорпус[[#This Row],[Ширина]]-3</f>
        <v>597</v>
      </c>
      <c r="T115" s="76">
        <f>(ТаблицаКорпус[[#This Row],[Высота]]-ТаблицаКорпус[[#This Row],[Фасад 1 Высота]]-3-600)-780/2-30</f>
        <v>360</v>
      </c>
      <c r="U115" s="76">
        <f>ТаблицаКорпус[[#This Row],[Ширина]]-3</f>
        <v>597</v>
      </c>
      <c r="V115" s="76"/>
      <c r="W115" s="76"/>
      <c r="X115" s="76"/>
    </row>
    <row r="116" spans="1:24" ht="154.15" customHeight="1">
      <c r="B116" s="94"/>
      <c r="C116" s="78"/>
      <c r="D116" s="79" t="s">
        <v>87</v>
      </c>
      <c r="E116" s="80">
        <v>2100</v>
      </c>
      <c r="F116" s="80">
        <v>600</v>
      </c>
      <c r="G116" s="80">
        <v>580</v>
      </c>
      <c r="H116" s="80">
        <v>2</v>
      </c>
      <c r="I116" s="81">
        <f>((E116*2+F116*(ТаблицаКорпус[[#This Row],[Кол-во полок]]+5))*G116+F116*(1000+500))/1000000*$O$1+4*$P$1</f>
        <v>19190.400000000001</v>
      </c>
      <c r="J116" s="82">
        <v>0</v>
      </c>
      <c r="K116" s="83">
        <f t="shared" si="31"/>
        <v>0</v>
      </c>
      <c r="L116" s="84"/>
      <c r="M116" s="85" t="s">
        <v>263</v>
      </c>
      <c r="N116" s="86"/>
      <c r="O116" s="76">
        <v>4</v>
      </c>
      <c r="P116" s="76">
        <f>(ТаблицаКорпус[[#This Row],[Высота]]-600-780)/2-3</f>
        <v>357</v>
      </c>
      <c r="Q116" s="76">
        <f>ТаблицаКорпус[[#This Row],[Ширина]]-3</f>
        <v>597</v>
      </c>
      <c r="R116" s="76">
        <f>(ТаблицаКорпус[[#This Row],[Высота]]-600-780)/2-3</f>
        <v>357</v>
      </c>
      <c r="S116" s="76">
        <f>ТаблицаКорпус[[#This Row],[Ширина]]-3</f>
        <v>597</v>
      </c>
      <c r="T116" s="76">
        <f>(ТаблицаКорпус[[#This Row],[Высота]]-(ТаблицаКорпус[[#This Row],[Фасад 1 Высота]]*2+3+3)-600)-780/2-30</f>
        <v>360</v>
      </c>
      <c r="U116" s="76">
        <f>ТаблицаКорпус[[#This Row],[Ширина]]-3</f>
        <v>597</v>
      </c>
      <c r="V116" s="76">
        <f>(ТаблицаКорпус[[#This Row],[Высота]]-(ТаблицаКорпус[[#This Row],[Фасад 1 Высота]]*2+3+3)-600)-780/2-30</f>
        <v>360</v>
      </c>
      <c r="W116" s="76">
        <f>ТаблицаКорпус[[#This Row],[Ширина]]-3</f>
        <v>597</v>
      </c>
      <c r="X116" s="76"/>
    </row>
    <row r="117" spans="1:24" ht="154.15" customHeight="1">
      <c r="B117" s="94"/>
      <c r="C117" s="78"/>
      <c r="D117" s="79" t="s">
        <v>88</v>
      </c>
      <c r="E117" s="80">
        <v>2100</v>
      </c>
      <c r="F117" s="80">
        <v>600</v>
      </c>
      <c r="G117" s="80">
        <v>580</v>
      </c>
      <c r="H117" s="80">
        <v>2</v>
      </c>
      <c r="I117" s="81">
        <f>((E117*2+F117*(ТаблицаКорпус[[#This Row],[Кол-во полок]]+5))*G117+F117*(1000+500))/1000000*$O$1+2*$P$1</f>
        <v>18830.400000000001</v>
      </c>
      <c r="J117" s="82">
        <v>0</v>
      </c>
      <c r="K117" s="83">
        <f t="shared" si="31"/>
        <v>0</v>
      </c>
      <c r="L117" s="84"/>
      <c r="M117" s="85" t="s">
        <v>264</v>
      </c>
      <c r="N117" s="86"/>
      <c r="O117" s="76">
        <v>4</v>
      </c>
      <c r="P117" s="76">
        <f>(ТаблицаКорпус[[#This Row],[Высота]]-600-780)/2-3</f>
        <v>357</v>
      </c>
      <c r="Q117" s="76">
        <f>ТаблицаКорпус[[#This Row],[Ширина]]-3</f>
        <v>597</v>
      </c>
      <c r="R117" s="76">
        <f>(ТаблицаКорпус[[#This Row],[Высота]]-600-780)/2-3</f>
        <v>357</v>
      </c>
      <c r="S117" s="76">
        <f>ТаблицаКорпус[[#This Row],[Ширина]]-3</f>
        <v>597</v>
      </c>
      <c r="T117" s="76">
        <f>780/2-30</f>
        <v>360</v>
      </c>
      <c r="U117" s="76">
        <f>ТаблицаКорпус[[#This Row],[Ширина]]-3</f>
        <v>597</v>
      </c>
      <c r="V117" s="76">
        <f>780/2-30</f>
        <v>360</v>
      </c>
      <c r="W117" s="76">
        <f>ТаблицаКорпус[[#This Row],[Ширина]]-3</f>
        <v>597</v>
      </c>
      <c r="X117" s="76"/>
    </row>
    <row r="118" spans="1:24" ht="154.15" customHeight="1">
      <c r="B118" s="94"/>
      <c r="C118" s="78"/>
      <c r="D118" s="79" t="s">
        <v>89</v>
      </c>
      <c r="E118" s="80">
        <v>2100</v>
      </c>
      <c r="F118" s="80">
        <v>600</v>
      </c>
      <c r="G118" s="80">
        <v>580</v>
      </c>
      <c r="H118" s="80">
        <v>0</v>
      </c>
      <c r="I118" s="81">
        <f>((E118*2+F118*(ТаблицаКорпус[[#This Row],[Кол-во полок]]+5))*G118+F118*(1000+500))/1000000*$O$1+4*$P$1</f>
        <v>16963.199999999997</v>
      </c>
      <c r="J118" s="82">
        <v>0</v>
      </c>
      <c r="K118" s="83">
        <f t="shared" si="31"/>
        <v>0</v>
      </c>
      <c r="L118" s="84"/>
      <c r="M118" s="85" t="s">
        <v>265</v>
      </c>
      <c r="N118" s="86"/>
      <c r="O118" s="76">
        <v>4</v>
      </c>
      <c r="P118" s="76">
        <f>(ТаблицаКорпус[[#This Row],[Высота]]-600-780)/2-3</f>
        <v>357</v>
      </c>
      <c r="Q118" s="76">
        <f>ТаблицаКорпус[[#This Row],[Ширина]]-3</f>
        <v>597</v>
      </c>
      <c r="R118" s="76">
        <f>(ТаблицаКорпус[[#This Row],[Высота]]-600-780)/2-3</f>
        <v>357</v>
      </c>
      <c r="S118" s="76">
        <f>ТаблицаКорпус[[#This Row],[Ширина]]-3</f>
        <v>597</v>
      </c>
      <c r="T118" s="76">
        <f>780/2-30</f>
        <v>360</v>
      </c>
      <c r="U118" s="76">
        <f>ТаблицаКорпус[[#This Row],[Ширина]]-3</f>
        <v>597</v>
      </c>
      <c r="V118" s="76">
        <f>780/2-30</f>
        <v>360</v>
      </c>
      <c r="W118" s="76">
        <f>ТаблицаКорпус[[#This Row],[Ширина]]-3</f>
        <v>597</v>
      </c>
      <c r="X118" s="76"/>
    </row>
    <row r="119" spans="1:24" ht="154.15" customHeight="1">
      <c r="B119" s="94"/>
      <c r="C119" s="78"/>
      <c r="D119" s="79" t="s">
        <v>90</v>
      </c>
      <c r="E119" s="80">
        <v>2100</v>
      </c>
      <c r="F119" s="80">
        <v>600</v>
      </c>
      <c r="G119" s="80">
        <v>580</v>
      </c>
      <c r="H119" s="80">
        <v>0</v>
      </c>
      <c r="I119" s="81">
        <f>((E119*2+F119*(ТаблицаКорпус[[#This Row],[Кол-во полок]]+5))*G119+F119*(1500+450))/1000000*$O$1+4*$P$1</f>
        <v>17827.2</v>
      </c>
      <c r="J119" s="82">
        <v>0</v>
      </c>
      <c r="K119" s="83">
        <f t="shared" si="31"/>
        <v>0</v>
      </c>
      <c r="L119" s="84"/>
      <c r="M119" s="85" t="s">
        <v>266</v>
      </c>
      <c r="N119" s="86"/>
      <c r="O119" s="76">
        <v>4</v>
      </c>
      <c r="P119" s="76">
        <f>(ТаблицаКорпус[[#This Row],[Высота]]-600-780)/2-3</f>
        <v>357</v>
      </c>
      <c r="Q119" s="76">
        <f>ТаблицаКорпус[[#This Row],[Ширина]]-3</f>
        <v>597</v>
      </c>
      <c r="R119" s="76">
        <f>(ТаблицаКорпус[[#This Row],[Высота]]-600-780)/2-3</f>
        <v>357</v>
      </c>
      <c r="S119" s="76">
        <f>ТаблицаКорпус[[#This Row],[Ширина]]-3</f>
        <v>597</v>
      </c>
      <c r="T119" s="76">
        <f>780/2-30</f>
        <v>360</v>
      </c>
      <c r="U119" s="76">
        <f>ТаблицаКорпус[[#This Row],[Ширина]]-3</f>
        <v>597</v>
      </c>
      <c r="V119" s="76">
        <f>780/2-30</f>
        <v>360</v>
      </c>
      <c r="W119" s="76">
        <f>ТаблицаКорпус[[#This Row],[Ширина]]-3</f>
        <v>597</v>
      </c>
      <c r="X119" s="76"/>
    </row>
    <row r="120" spans="1:24" ht="154.15" customHeight="1">
      <c r="B120" s="94"/>
      <c r="C120" s="78"/>
      <c r="D120" s="79" t="s">
        <v>91</v>
      </c>
      <c r="E120" s="80">
        <v>2100</v>
      </c>
      <c r="F120" s="80">
        <v>600</v>
      </c>
      <c r="G120" s="80">
        <v>580</v>
      </c>
      <c r="H120" s="80">
        <v>2</v>
      </c>
      <c r="I120" s="81">
        <f>((E120*2+F120*(ТаблицаКорпус[[#This Row],[Кол-во полок]]+4))*G120+F120*(1500+450))/1000000*$O$1+4*$P$1</f>
        <v>18940.8</v>
      </c>
      <c r="J120" s="82">
        <v>0</v>
      </c>
      <c r="K120" s="83">
        <f t="shared" si="31"/>
        <v>0</v>
      </c>
      <c r="L120" s="84"/>
      <c r="M120" s="85" t="s">
        <v>267</v>
      </c>
      <c r="N120" s="86"/>
      <c r="O120" s="76">
        <v>4</v>
      </c>
      <c r="P120" s="76">
        <f>ТаблицаКорпус[[#This Row],[Высота]]-600-780-3</f>
        <v>717</v>
      </c>
      <c r="Q120" s="76">
        <f>ТаблицаКорпус[[#This Row],[Ширина]]-3</f>
        <v>597</v>
      </c>
      <c r="R120" s="76">
        <v>180</v>
      </c>
      <c r="S120" s="76">
        <f>ТаблицаКорпус[[#This Row],[Ширина]]-3</f>
        <v>597</v>
      </c>
      <c r="T120" s="76">
        <f>ТаблицаКорпус[[#This Row],[Фасад 2 Высота]]</f>
        <v>180</v>
      </c>
      <c r="U120" s="76">
        <f>ТаблицаКорпус[[#This Row],[Ширина]]-3</f>
        <v>597</v>
      </c>
      <c r="V120" s="76">
        <v>360</v>
      </c>
      <c r="W120" s="76">
        <f>ТаблицаКорпус[[#This Row],[Ширина]]-3</f>
        <v>597</v>
      </c>
      <c r="X120" s="76"/>
    </row>
    <row r="121" spans="1:24" ht="154.15" customHeight="1">
      <c r="B121" s="94"/>
      <c r="C121" s="78"/>
      <c r="D121" s="79" t="s">
        <v>92</v>
      </c>
      <c r="E121" s="80">
        <v>2460</v>
      </c>
      <c r="F121" s="80">
        <v>600</v>
      </c>
      <c r="G121" s="80">
        <v>580</v>
      </c>
      <c r="H121" s="80">
        <v>0</v>
      </c>
      <c r="I121" s="81">
        <f>((E121*2+F121*(ТаблицаКорпус[[#This Row],[Кол-во полок]]+4))*G121+F121*(1500+450))/1000000*$O$1+4*$P$1</f>
        <v>18049.920000000002</v>
      </c>
      <c r="J121" s="82">
        <v>0</v>
      </c>
      <c r="K121" s="83">
        <f t="shared" si="31"/>
        <v>0</v>
      </c>
      <c r="L121" s="84"/>
      <c r="M121" s="85" t="s">
        <v>268</v>
      </c>
      <c r="N121" s="86"/>
      <c r="O121" s="76">
        <v>5</v>
      </c>
      <c r="P121" s="76">
        <f>((ТаблицаКорпус[[#This Row],[Высота]]-600-780)/2-3)*2</f>
        <v>1074</v>
      </c>
      <c r="Q121" s="76">
        <f>ТаблицаКорпус[[#This Row],[Ширина]]-3</f>
        <v>597</v>
      </c>
      <c r="R121" s="76">
        <v>180</v>
      </c>
      <c r="S121" s="76">
        <f>ТаблицаКорпус[[#This Row],[Ширина]]-3</f>
        <v>597</v>
      </c>
      <c r="T121" s="76">
        <v>180</v>
      </c>
      <c r="U121" s="76">
        <f>ТаблицаКорпус[[#This Row],[Ширина]]-3</f>
        <v>597</v>
      </c>
      <c r="V121" s="76">
        <v>360</v>
      </c>
      <c r="W121" s="76">
        <f>ТаблицаКорпус[[#This Row],[Ширина]]-3</f>
        <v>597</v>
      </c>
      <c r="X121" s="76"/>
    </row>
    <row r="122" spans="1:24" ht="154.15" customHeight="1">
      <c r="B122" s="94"/>
      <c r="C122" s="78"/>
      <c r="D122" s="79" t="s">
        <v>93</v>
      </c>
      <c r="E122" s="80">
        <v>2100</v>
      </c>
      <c r="F122" s="80">
        <v>600</v>
      </c>
      <c r="G122" s="80">
        <v>580</v>
      </c>
      <c r="H122" s="80">
        <v>2</v>
      </c>
      <c r="I122" s="81">
        <f>((E122*2+F122*(ТаблицаКорпус[[#This Row],[Кол-во полок]]+4))*G122)/1000000*$O$1+2*$P$1</f>
        <v>14836.8</v>
      </c>
      <c r="J122" s="82">
        <v>0</v>
      </c>
      <c r="K122" s="83">
        <f t="shared" si="31"/>
        <v>0</v>
      </c>
      <c r="L122" s="84"/>
      <c r="M122" s="85" t="s">
        <v>269</v>
      </c>
      <c r="N122" s="86"/>
      <c r="O122" s="76">
        <v>2</v>
      </c>
      <c r="P122" s="76">
        <f>ТаблицаКорпус[[#This Row],[Высота]]-600-780-3</f>
        <v>717</v>
      </c>
      <c r="Q122" s="76">
        <f>ТаблицаКорпус[[#This Row],[Ширина]]-3</f>
        <v>597</v>
      </c>
      <c r="R122" s="76">
        <f>ТаблицаКорпус[[#This Row],[Высота]]-600-ТаблицаКорпус[[#This Row],[Фасад 1 Высота]]-3-3</f>
        <v>777</v>
      </c>
      <c r="S122" s="76">
        <f>ТаблицаКорпус[[#This Row],[Ширина]]-3</f>
        <v>597</v>
      </c>
      <c r="T122" s="76"/>
      <c r="U122" s="76"/>
      <c r="V122" s="76"/>
      <c r="W122" s="76"/>
      <c r="X122" s="76"/>
    </row>
    <row r="123" spans="1:24" ht="154.15" customHeight="1">
      <c r="B123" s="94"/>
      <c r="C123" s="78"/>
      <c r="D123" s="79" t="s">
        <v>94</v>
      </c>
      <c r="E123" s="80">
        <v>2100</v>
      </c>
      <c r="F123" s="80">
        <v>600</v>
      </c>
      <c r="G123" s="80">
        <v>580</v>
      </c>
      <c r="H123" s="80">
        <v>3</v>
      </c>
      <c r="I123" s="81">
        <f>((E123*2+F123*(ТаблицаКорпус[[#This Row],[Кол-во полок]]+5))*G123)/1000000*$O$1+2*$P$1</f>
        <v>17064</v>
      </c>
      <c r="J123" s="82">
        <v>0</v>
      </c>
      <c r="K123" s="83">
        <f t="shared" si="31"/>
        <v>0</v>
      </c>
      <c r="L123" s="84"/>
      <c r="M123" s="85" t="s">
        <v>270</v>
      </c>
      <c r="N123" s="86"/>
      <c r="O123" s="76">
        <v>3</v>
      </c>
      <c r="P123" s="76">
        <f>(ТаблицаКорпус[[#This Row],[Высота]]-600-780)/2-3</f>
        <v>357</v>
      </c>
      <c r="Q123" s="76">
        <f>ТаблицаКорпус[[#This Row],[Ширина]]-3</f>
        <v>597</v>
      </c>
      <c r="R123" s="76">
        <f>ТаблицаКорпус[[#This Row],[Фасад 1 Высота]]</f>
        <v>357</v>
      </c>
      <c r="S123" s="76">
        <f>ТаблицаКорпус[[#This Row],[Ширина]]-3</f>
        <v>597</v>
      </c>
      <c r="T123" s="76">
        <f>ТаблицаКорпус[[#This Row],[Высота]]-600-ТаблицаКорпус[[#This Row],[Фасад 1 Высота]]-ТаблицаКорпус[[#This Row],[Фасад 2 Высота]]-9</f>
        <v>777</v>
      </c>
      <c r="U123" s="76">
        <f>ТаблицаКорпус[[#This Row],[Ширина]]-3</f>
        <v>597</v>
      </c>
      <c r="V123" s="76"/>
      <c r="W123" s="76"/>
      <c r="X123" s="76"/>
    </row>
    <row r="124" spans="1:24" ht="154.15" customHeight="1">
      <c r="B124" s="94"/>
      <c r="C124" s="78"/>
      <c r="D124" s="79" t="s">
        <v>95</v>
      </c>
      <c r="E124" s="80">
        <v>2100</v>
      </c>
      <c r="F124" s="80">
        <v>600</v>
      </c>
      <c r="G124" s="80">
        <v>580</v>
      </c>
      <c r="H124" s="80">
        <v>3</v>
      </c>
      <c r="I124" s="81">
        <f>((E124*2+F124*(ТаблицаКорпус[[#This Row],[Кол-во полок]]+4))*G124+F124*(500+250))/1000000*$O$1+2*$P$1</f>
        <v>17390.400000000001</v>
      </c>
      <c r="J124" s="82">
        <v>0</v>
      </c>
      <c r="K124" s="83">
        <f t="shared" si="31"/>
        <v>0</v>
      </c>
      <c r="L124" s="84"/>
      <c r="M124" s="85" t="s">
        <v>271</v>
      </c>
      <c r="N124" s="86"/>
      <c r="O124" s="76">
        <v>2</v>
      </c>
      <c r="P124" s="76">
        <f>ТаблицаКорпус[[#This Row],[Высота]]-600-780/2-3</f>
        <v>1107</v>
      </c>
      <c r="Q124" s="76">
        <f>ТаблицаКорпус[[#This Row],[Ширина]]-3</f>
        <v>597</v>
      </c>
      <c r="R124" s="76">
        <v>360</v>
      </c>
      <c r="S124" s="76">
        <f>ТаблицаКорпус[[#This Row],[Ширина]]-3</f>
        <v>597</v>
      </c>
      <c r="T124" s="76"/>
      <c r="U124" s="76"/>
      <c r="V124" s="76"/>
      <c r="W124" s="76"/>
      <c r="X124" s="76"/>
    </row>
    <row r="125" spans="1:24" ht="154.15" customHeight="1">
      <c r="B125" s="94"/>
      <c r="C125" s="78"/>
      <c r="D125" s="79" t="s">
        <v>96</v>
      </c>
      <c r="E125" s="80">
        <v>2460</v>
      </c>
      <c r="F125" s="80">
        <v>600</v>
      </c>
      <c r="G125" s="80">
        <v>580</v>
      </c>
      <c r="H125" s="80">
        <v>2</v>
      </c>
      <c r="I125" s="81">
        <f>((E125*2+F125*(ТаблицаКорпус[[#This Row],[Кол-во полок]]+5))*G125+F125*(500+250))/1000000*$O$1+2*$P$1</f>
        <v>18726.72</v>
      </c>
      <c r="J125" s="82">
        <v>0</v>
      </c>
      <c r="K125" s="83">
        <f t="shared" si="31"/>
        <v>0</v>
      </c>
      <c r="L125" s="84"/>
      <c r="M125" s="85" t="s">
        <v>272</v>
      </c>
      <c r="N125" s="86"/>
      <c r="O125" s="76">
        <v>3</v>
      </c>
      <c r="P125" s="76">
        <f>(ТаблицаКорпус[[#This Row],[Высота]]-600-780)/2-3</f>
        <v>537</v>
      </c>
      <c r="Q125" s="76">
        <f>ТаблицаКорпус[[#This Row],[Ширина]]-3</f>
        <v>597</v>
      </c>
      <c r="R125" s="76">
        <f>ТаблицаКорпус[[#This Row],[Фасад 1 Высота]]</f>
        <v>537</v>
      </c>
      <c r="S125" s="76">
        <f>ТаблицаКорпус[[#This Row],[Ширина]]-3</f>
        <v>597</v>
      </c>
      <c r="T125" s="76">
        <v>360</v>
      </c>
      <c r="U125" s="76">
        <f>ТаблицаКорпус[[#This Row],[Ширина]]-3</f>
        <v>597</v>
      </c>
      <c r="V125" s="76"/>
      <c r="W125" s="76"/>
      <c r="X125" s="76"/>
    </row>
    <row r="126" spans="1:24" ht="154.15" customHeight="1">
      <c r="B126" s="94"/>
      <c r="C126" s="78"/>
      <c r="D126" s="79" t="s">
        <v>97</v>
      </c>
      <c r="E126" s="80">
        <v>2460</v>
      </c>
      <c r="F126" s="80">
        <v>600</v>
      </c>
      <c r="G126" s="80">
        <v>580</v>
      </c>
      <c r="H126" s="80">
        <v>3</v>
      </c>
      <c r="I126" s="81">
        <f>((E126*2+F126*(ТаблицаКорпус[[#This Row],[Кол-во полок]]+4))*G126+F126*(500+250))/1000000*$O$1+2*$P$1</f>
        <v>18726.72</v>
      </c>
      <c r="J126" s="82">
        <v>0</v>
      </c>
      <c r="K126" s="83">
        <f t="shared" si="31"/>
        <v>0</v>
      </c>
      <c r="L126" s="84"/>
      <c r="M126" s="85" t="s">
        <v>273</v>
      </c>
      <c r="N126" s="86"/>
      <c r="O126" s="76">
        <v>3</v>
      </c>
      <c r="P126" s="76">
        <f>ТаблицаКорпус[[#This Row],[Высота]]-608-ТаблицаКорпус[[#This Row],[Фасад 2 Высота]]-ТаблицаКорпус[[#This Row],[Фасад 3 Высота]]</f>
        <v>1465</v>
      </c>
      <c r="Q126" s="76">
        <f>ТаблицаКорпус[[#This Row],[Ширина]]-3</f>
        <v>597</v>
      </c>
      <c r="R126" s="76">
        <v>50</v>
      </c>
      <c r="S126" s="76">
        <f>ТаблицаКорпус[[#This Row],[Ширина]]-3</f>
        <v>597</v>
      </c>
      <c r="T126" s="76">
        <f>390-ТаблицаКорпус[[#This Row],[Фасад 2 Высота]]-3</f>
        <v>337</v>
      </c>
      <c r="U126" s="76">
        <f>ТаблицаКорпус[[#This Row],[Ширина]]-3</f>
        <v>597</v>
      </c>
      <c r="V126" s="76"/>
      <c r="W126" s="76"/>
      <c r="X126" s="76"/>
    </row>
    <row r="127" spans="1:24" ht="154.15" customHeight="1">
      <c r="B127" s="94"/>
      <c r="C127" s="78"/>
      <c r="D127" s="79" t="s">
        <v>98</v>
      </c>
      <c r="E127" s="80">
        <v>2460</v>
      </c>
      <c r="F127" s="80">
        <v>600</v>
      </c>
      <c r="G127" s="80">
        <v>580</v>
      </c>
      <c r="H127" s="80">
        <v>1</v>
      </c>
      <c r="I127" s="81">
        <f>((E127*2+F127*(ТаблицаКорпус[[#This Row],[Кол-во полок]]+5))*G127+F127*(1000+500))/1000000*$O$1+4*$P$1</f>
        <v>19413.12</v>
      </c>
      <c r="J127" s="82">
        <v>0</v>
      </c>
      <c r="K127" s="83">
        <f t="shared" si="31"/>
        <v>0</v>
      </c>
      <c r="L127" s="84"/>
      <c r="M127" s="85" t="s">
        <v>274</v>
      </c>
      <c r="N127" s="86"/>
      <c r="O127" s="76">
        <v>3</v>
      </c>
      <c r="P127" s="76">
        <f>ТаблицаКорпус[[#This Row],[Высота]]-380-608-3-780</f>
        <v>689</v>
      </c>
      <c r="Q127" s="76">
        <f>ТаблицаКорпус[[#This Row],[Ширина]]-3</f>
        <v>597</v>
      </c>
      <c r="R127" s="76">
        <f>(ТаблицаКорпус[[#This Row],[Высота]]-ТаблицаКорпус[[#This Row],[Фасад 1 Высота]]-380-608-3-30)/2</f>
        <v>375</v>
      </c>
      <c r="S127" s="76">
        <f>ТаблицаКорпус[[#This Row],[Ширина]]-3</f>
        <v>597</v>
      </c>
      <c r="T127" s="76">
        <f>ТаблицаКорпус[[#This Row],[Фасад 2 Высота]]</f>
        <v>375</v>
      </c>
      <c r="U127" s="76">
        <f>ТаблицаКорпус[[#This Row],[Ширина]]-3</f>
        <v>597</v>
      </c>
      <c r="V127" s="76"/>
      <c r="W127" s="76"/>
      <c r="X127" s="76"/>
    </row>
    <row r="128" spans="1:24" ht="154.15" customHeight="1">
      <c r="B128" s="94"/>
      <c r="C128" s="78"/>
      <c r="D128" s="79" t="s">
        <v>99</v>
      </c>
      <c r="E128" s="80">
        <v>2460</v>
      </c>
      <c r="F128" s="80">
        <v>600</v>
      </c>
      <c r="G128" s="80">
        <v>580</v>
      </c>
      <c r="H128" s="80">
        <v>1</v>
      </c>
      <c r="I128" s="81">
        <f>((E128*2+F128*(ТаблицаКорпус[[#This Row],[Кол-во полок]]+5))*G128+F128*(1000+500))/1000000*$O$1+2*$P$1</f>
        <v>19053.12</v>
      </c>
      <c r="J128" s="82">
        <v>0</v>
      </c>
      <c r="K128" s="83">
        <f t="shared" si="31"/>
        <v>0</v>
      </c>
      <c r="L128" s="84"/>
      <c r="M128" s="85" t="s">
        <v>275</v>
      </c>
      <c r="N128" s="86"/>
      <c r="O128" s="76">
        <v>3</v>
      </c>
      <c r="P128" s="76">
        <f>ТаблицаКорпус[[#This Row],[Высота]]-380-608-3-780</f>
        <v>689</v>
      </c>
      <c r="Q128" s="76">
        <f>ТаблицаКорпус[[#This Row],[Ширина]]-3</f>
        <v>597</v>
      </c>
      <c r="R128" s="76">
        <f>(ТаблицаКорпус[[#This Row],[Высота]]-ТаблицаКорпус[[#This Row],[Фасад 1 Высота]]-380-608-3-30)/2</f>
        <v>375</v>
      </c>
      <c r="S128" s="76">
        <f>ТаблицаКорпус[[#This Row],[Ширина]]-3</f>
        <v>597</v>
      </c>
      <c r="T128" s="76">
        <f>ТаблицаКорпус[[#This Row],[Фасад 2 Высота]]</f>
        <v>375</v>
      </c>
      <c r="U128" s="76">
        <f>ТаблицаКорпус[[#This Row],[Ширина]]-3</f>
        <v>597</v>
      </c>
      <c r="V128" s="76"/>
      <c r="W128" s="76"/>
      <c r="X128" s="76"/>
    </row>
    <row r="129" spans="1:24" ht="154.15" customHeight="1">
      <c r="B129" s="94"/>
      <c r="C129" s="78"/>
      <c r="D129" s="79" t="s">
        <v>100</v>
      </c>
      <c r="E129" s="80">
        <v>2460</v>
      </c>
      <c r="F129" s="80">
        <v>600</v>
      </c>
      <c r="G129" s="80">
        <v>580</v>
      </c>
      <c r="H129" s="80">
        <v>1</v>
      </c>
      <c r="I129" s="81">
        <f>((E129*2+F129*(ТаблицаКорпус[[#This Row],[Кол-во полок]]+5))*G129+F129*(1500+450))/1000000*$O$1+4*$P$1</f>
        <v>20277.12</v>
      </c>
      <c r="J129" s="82">
        <v>0</v>
      </c>
      <c r="K129" s="83">
        <f t="shared" si="31"/>
        <v>0</v>
      </c>
      <c r="L129" s="84"/>
      <c r="M129" s="85" t="s">
        <v>276</v>
      </c>
      <c r="N129" s="86"/>
      <c r="O129" s="76">
        <v>3</v>
      </c>
      <c r="P129" s="76">
        <f>ТаблицаКорпус[[#This Row],[Высота]]-380-608-3-780</f>
        <v>689</v>
      </c>
      <c r="Q129" s="76">
        <f>ТаблицаКорпус[[#This Row],[Ширина]]-3</f>
        <v>597</v>
      </c>
      <c r="R129" s="76">
        <f>(ТаблицаКорпус[[#This Row],[Высота]]-ТаблицаКорпус[[#This Row],[Фасад 1 Высота]]-380-608-3-30)/2</f>
        <v>375</v>
      </c>
      <c r="S129" s="76">
        <f>ТаблицаКорпус[[#This Row],[Ширина]]-3</f>
        <v>597</v>
      </c>
      <c r="T129" s="76">
        <f>ТаблицаКорпус[[#This Row],[Фасад 2 Высота]]</f>
        <v>375</v>
      </c>
      <c r="U129" s="76">
        <f>ТаблицаКорпус[[#This Row],[Ширина]]-3</f>
        <v>597</v>
      </c>
      <c r="V129" s="76"/>
      <c r="W129" s="76"/>
      <c r="X129" s="76"/>
    </row>
    <row r="130" spans="1:24" ht="204" customHeight="1">
      <c r="B130" s="94"/>
      <c r="C130" s="78"/>
      <c r="D130" s="79" t="s">
        <v>101</v>
      </c>
      <c r="E130" s="80">
        <v>2460</v>
      </c>
      <c r="F130" s="80">
        <v>450</v>
      </c>
      <c r="G130" s="80">
        <v>580</v>
      </c>
      <c r="H130" s="80">
        <v>1</v>
      </c>
      <c r="I130" s="81">
        <f>((E130*2+F130*(ТаблицаКорпус[[#This Row],[Кол-во полок]]+5))*G130+F130*(1500+450))/1000000*$O$1+2*$P$1</f>
        <v>17310.72</v>
      </c>
      <c r="J130" s="82">
        <v>0</v>
      </c>
      <c r="K130" s="83">
        <f t="shared" si="31"/>
        <v>0</v>
      </c>
      <c r="L130" s="84"/>
      <c r="M130" s="85" t="s">
        <v>277</v>
      </c>
      <c r="N130" s="86"/>
      <c r="O130" s="76">
        <v>3</v>
      </c>
      <c r="P130" s="76">
        <f>ТаблицаКорпус[[#This Row],[Высота]]-380-608-3-780</f>
        <v>689</v>
      </c>
      <c r="Q130" s="76">
        <f>ТаблицаКорпус[[#This Row],[Ширина]]-3</f>
        <v>447</v>
      </c>
      <c r="R130" s="76">
        <f>(ТаблицаКорпус[[#This Row],[Высота]]-ТаблицаКорпус[[#This Row],[Фасад 1 Высота]]-380-608-3-30)/2</f>
        <v>375</v>
      </c>
      <c r="S130" s="76">
        <f>ТаблицаКорпус[[#This Row],[Ширина]]-3</f>
        <v>447</v>
      </c>
      <c r="T130" s="76">
        <f>ТаблицаКорпус[[#This Row],[Фасад 2 Высота]]</f>
        <v>375</v>
      </c>
      <c r="U130" s="76">
        <f>ТаблицаКорпус[[#This Row],[Ширина]]-3</f>
        <v>447</v>
      </c>
      <c r="V130" s="76"/>
      <c r="W130" s="76"/>
      <c r="X130" s="76"/>
    </row>
    <row r="131" spans="1:24" ht="154.15" customHeight="1">
      <c r="B131" s="94"/>
      <c r="C131" s="78"/>
      <c r="D131" s="79" t="s">
        <v>102</v>
      </c>
      <c r="E131" s="80">
        <v>2460</v>
      </c>
      <c r="F131" s="80">
        <v>600</v>
      </c>
      <c r="G131" s="80">
        <v>580</v>
      </c>
      <c r="H131" s="80">
        <v>1</v>
      </c>
      <c r="I131" s="81">
        <f>((E131*2+F131*(ТаблицаКорпус[[#This Row],[Кол-во полок]]+5))*G131+F131*(1500+450))/1000000*$O$1+4*$P$1</f>
        <v>20277.12</v>
      </c>
      <c r="J131" s="82">
        <v>0</v>
      </c>
      <c r="K131" s="83">
        <f t="shared" si="31"/>
        <v>0</v>
      </c>
      <c r="L131" s="84"/>
      <c r="M131" s="85" t="s">
        <v>278</v>
      </c>
      <c r="N131" s="86"/>
      <c r="O131" s="76">
        <v>4</v>
      </c>
      <c r="P131" s="76">
        <f>ТаблицаКорпус[[#This Row],[Высота]]-380-608-3-780</f>
        <v>689</v>
      </c>
      <c r="Q131" s="76">
        <f>ТаблицаКорпус[[#This Row],[Ширина]]-3</f>
        <v>597</v>
      </c>
      <c r="R131" s="76">
        <f>(780/2-30)/2</f>
        <v>180</v>
      </c>
      <c r="S131" s="76">
        <f>ТаблицаКорпус[[#This Row],[Ширина]]-3</f>
        <v>597</v>
      </c>
      <c r="T131" s="76">
        <f>ТаблицаКорпус[[#This Row],[Фасад 2 Высота]]</f>
        <v>180</v>
      </c>
      <c r="U131" s="76">
        <f>ТаблицаКорпус[[#This Row],[Ширина]]-3</f>
        <v>597</v>
      </c>
      <c r="V131" s="76">
        <f>780/2-30</f>
        <v>360</v>
      </c>
      <c r="W131" s="76">
        <f>ТаблицаКорпус[[#This Row],[Ширина]]-3</f>
        <v>597</v>
      </c>
      <c r="X131" s="76"/>
    </row>
    <row r="132" spans="1:24" ht="154.15" customHeight="1">
      <c r="B132" s="94"/>
      <c r="C132" s="78"/>
      <c r="D132" s="79" t="s">
        <v>103</v>
      </c>
      <c r="E132" s="80">
        <v>2100</v>
      </c>
      <c r="F132" s="80">
        <v>600</v>
      </c>
      <c r="G132" s="80">
        <v>580</v>
      </c>
      <c r="H132" s="80">
        <v>1</v>
      </c>
      <c r="I132" s="81">
        <f>((E132*2+F132*(ТаблицаКорпус[[#This Row],[Кол-во полок]]+5))*G132+F132*(1000+350))/1000000*$O$1+2*$P$1</f>
        <v>17428.8</v>
      </c>
      <c r="J132" s="82">
        <v>0</v>
      </c>
      <c r="K132" s="83">
        <f t="shared" si="31"/>
        <v>0</v>
      </c>
      <c r="L132" s="84"/>
      <c r="M132" s="85" t="s">
        <v>279</v>
      </c>
      <c r="N132" s="86"/>
      <c r="O132" s="76">
        <v>2</v>
      </c>
      <c r="P132" s="76">
        <f>ТаблицаКорпус[[#This Row],[Высота]]-380-608-3-780</f>
        <v>329</v>
      </c>
      <c r="Q132" s="76">
        <f>ТаблицаКорпус[[#This Row],[Ширина]]-3</f>
        <v>597</v>
      </c>
      <c r="R132" s="76">
        <f>ТаблицаКорпус[[#This Row],[Высота]]-ТаблицаКорпус[[#This Row],[Фасад 1 Высота]]-380-608-30</f>
        <v>753</v>
      </c>
      <c r="S132" s="76">
        <f>ТаблицаКорпус[[#This Row],[Ширина]]-3</f>
        <v>597</v>
      </c>
      <c r="T132" s="76"/>
      <c r="U132" s="76"/>
      <c r="V132" s="76"/>
      <c r="W132" s="76"/>
      <c r="X132" s="76"/>
    </row>
    <row r="133" spans="1:24" ht="154.15" customHeight="1">
      <c r="B133" s="94"/>
      <c r="C133" s="78"/>
      <c r="D133" s="79" t="s">
        <v>104</v>
      </c>
      <c r="E133" s="80">
        <v>2100</v>
      </c>
      <c r="F133" s="80">
        <v>600</v>
      </c>
      <c r="G133" s="80">
        <v>580</v>
      </c>
      <c r="H133" s="80">
        <v>2</v>
      </c>
      <c r="I133" s="81">
        <f>((E133*2+F133*(ТаблицаКорпус[[#This Row],[Кол-во полок]]+5))*G133)/1000000*$O$1+2*$P$1</f>
        <v>15950.4</v>
      </c>
      <c r="J133" s="82">
        <v>0</v>
      </c>
      <c r="K133" s="83">
        <f t="shared" si="31"/>
        <v>0</v>
      </c>
      <c r="L133" s="84"/>
      <c r="M133" s="85" t="s">
        <v>280</v>
      </c>
      <c r="N133" s="86"/>
      <c r="O133" s="76">
        <v>2</v>
      </c>
      <c r="P133" s="76">
        <f>ТаблицаКорпус[[#This Row],[Высота]]-380-608-3-780</f>
        <v>329</v>
      </c>
      <c r="Q133" s="76">
        <f>ТаблицаКорпус[[#This Row],[Ширина]]-3</f>
        <v>597</v>
      </c>
      <c r="R133" s="76">
        <f>ТаблицаКорпус[[#This Row],[Высота]]-ТаблицаКорпус[[#This Row],[Фасад 1 Высота]]-380-608-30</f>
        <v>753</v>
      </c>
      <c r="S133" s="76">
        <f>ТаблицаКорпус[[#This Row],[Ширина]]-3</f>
        <v>597</v>
      </c>
      <c r="T133" s="76"/>
      <c r="U133" s="76"/>
      <c r="V133" s="76"/>
      <c r="W133" s="76"/>
      <c r="X133" s="76"/>
    </row>
    <row r="134" spans="1:24" ht="154.15" customHeight="1">
      <c r="B134" s="94"/>
      <c r="C134" s="78"/>
      <c r="D134" s="79" t="s">
        <v>105</v>
      </c>
      <c r="E134" s="80">
        <v>2100</v>
      </c>
      <c r="F134" s="80">
        <v>600</v>
      </c>
      <c r="G134" s="80">
        <v>580</v>
      </c>
      <c r="H134" s="80">
        <v>1</v>
      </c>
      <c r="I134" s="81">
        <f>((E134*2+F134*(ТаблицаКорпус[[#This Row],[Кол-во полок]]+5))*G134+F134*(1000+350))/1000000*$O$1+2*$P$1</f>
        <v>17428.8</v>
      </c>
      <c r="J134" s="82">
        <v>0</v>
      </c>
      <c r="K134" s="83">
        <f t="shared" si="31"/>
        <v>0</v>
      </c>
      <c r="L134" s="84"/>
      <c r="M134" s="85" t="s">
        <v>281</v>
      </c>
      <c r="N134" s="86"/>
      <c r="O134" s="76">
        <v>3</v>
      </c>
      <c r="P134" s="76">
        <f>ТаблицаКорпус[[#This Row],[Высота]]-380-608-3-180-30-230</f>
        <v>669</v>
      </c>
      <c r="Q134" s="76">
        <f>ТаблицаКорпус[[#This Row],[Ширина]]-3</f>
        <v>597</v>
      </c>
      <c r="R134" s="76">
        <v>180</v>
      </c>
      <c r="S134" s="76">
        <f>ТаблицаКорпус[[#This Row],[Ширина]]-3</f>
        <v>597</v>
      </c>
      <c r="T134" s="76">
        <v>360</v>
      </c>
      <c r="U134" s="76">
        <f>ТаблицаКорпус[[#This Row],[Ширина]]-3</f>
        <v>597</v>
      </c>
      <c r="V134" s="76"/>
      <c r="W134" s="76"/>
      <c r="X134" s="76"/>
    </row>
    <row r="135" spans="1:24" ht="154.15" customHeight="1">
      <c r="B135" s="94"/>
      <c r="C135" s="78"/>
      <c r="D135" s="79" t="s">
        <v>106</v>
      </c>
      <c r="E135" s="80">
        <v>2100</v>
      </c>
      <c r="F135" s="80">
        <v>600</v>
      </c>
      <c r="G135" s="80">
        <v>580</v>
      </c>
      <c r="H135" s="80">
        <v>2</v>
      </c>
      <c r="I135" s="81">
        <f>((E135*2+F135*(ТаблицаКорпус[[#This Row],[Кол-во полок]]+5))*G135+F135*(500+250))/1000000*$O$1+2*$P$1</f>
        <v>17390.400000000001</v>
      </c>
      <c r="J135" s="82">
        <v>0</v>
      </c>
      <c r="K135" s="83">
        <f t="shared" si="31"/>
        <v>0</v>
      </c>
      <c r="L135" s="84"/>
      <c r="M135" s="85" t="s">
        <v>282</v>
      </c>
      <c r="N135" s="86"/>
      <c r="O135" s="76">
        <v>2</v>
      </c>
      <c r="P135" s="76">
        <f>ТаблицаКорпус[[#This Row],[Высота]]-380-608-3-30-230</f>
        <v>849</v>
      </c>
      <c r="Q135" s="76">
        <f>ТаблицаКорпус[[#This Row],[Ширина]]-3</f>
        <v>597</v>
      </c>
      <c r="R135" s="76">
        <v>230</v>
      </c>
      <c r="S135" s="76">
        <f>ТаблицаКорпус[[#This Row],[Ширина]]-3</f>
        <v>597</v>
      </c>
      <c r="T135" s="76"/>
      <c r="U135" s="76"/>
      <c r="V135" s="76"/>
      <c r="W135" s="76"/>
      <c r="X135" s="76"/>
    </row>
    <row r="136" spans="1:24" ht="154.15" customHeight="1">
      <c r="B136" s="94"/>
      <c r="C136" s="78"/>
      <c r="D136" s="79" t="s">
        <v>107</v>
      </c>
      <c r="E136" s="80">
        <v>2460</v>
      </c>
      <c r="F136" s="80">
        <v>600</v>
      </c>
      <c r="G136" s="80">
        <v>580</v>
      </c>
      <c r="H136" s="80">
        <v>0</v>
      </c>
      <c r="I136" s="81">
        <f>((E136*2+F136*(ТаблицаКорпус[[#This Row],[Кол-во полок]]+6))*G136+F136*(500+250))/1000000*$O$1+2*$P$1</f>
        <v>17613.120000000003</v>
      </c>
      <c r="J136" s="82">
        <v>0</v>
      </c>
      <c r="K136" s="83">
        <f t="shared" si="31"/>
        <v>0</v>
      </c>
      <c r="L136" s="84"/>
      <c r="M136" s="85" t="s">
        <v>283</v>
      </c>
      <c r="N136" s="86"/>
      <c r="O136" s="76">
        <v>3</v>
      </c>
      <c r="P136" s="76">
        <f>(ТаблицаКорпус[[#This Row],[Высота]]-380-608-3-30-230)/2-3</f>
        <v>601.5</v>
      </c>
      <c r="Q136" s="76">
        <f>ТаблицаКорпус[[#This Row],[Ширина]]-3</f>
        <v>597</v>
      </c>
      <c r="R136" s="76">
        <f>ТаблицаКорпус[[#This Row],[Фасад 1 Высота]]</f>
        <v>601.5</v>
      </c>
      <c r="S136" s="76">
        <f>ТаблицаКорпус[[#This Row],[Ширина]]-3</f>
        <v>597</v>
      </c>
      <c r="T136" s="76">
        <v>230</v>
      </c>
      <c r="U136" s="76">
        <f>ТаблицаКорпус[[#This Row],[Ширина]]-3</f>
        <v>597</v>
      </c>
      <c r="V136" s="76"/>
      <c r="W136" s="76"/>
      <c r="X136" s="76"/>
    </row>
    <row r="137" spans="1:24" ht="154.15" customHeight="1">
      <c r="B137" s="94"/>
      <c r="C137" s="78"/>
      <c r="D137" s="79" t="s">
        <v>108</v>
      </c>
      <c r="E137" s="80">
        <v>2100</v>
      </c>
      <c r="F137" s="80">
        <v>600</v>
      </c>
      <c r="G137" s="80">
        <v>580</v>
      </c>
      <c r="H137" s="80">
        <v>2</v>
      </c>
      <c r="I137" s="81">
        <f>((E137*2+F137*(ТаблицаКорпус[[#This Row],[Кол-во полок]]+5))*G137+F137*(500+250))/1000000*$O$1+2*$P$1</f>
        <v>17390.400000000001</v>
      </c>
      <c r="J137" s="82">
        <v>0</v>
      </c>
      <c r="K137" s="83">
        <f t="shared" si="31"/>
        <v>0</v>
      </c>
      <c r="L137" s="84"/>
      <c r="M137" s="85" t="s">
        <v>284</v>
      </c>
      <c r="N137" s="86"/>
      <c r="O137" s="76">
        <v>3</v>
      </c>
      <c r="P137" s="76">
        <f>ТаблицаКорпус[[#This Row],[Высота]]-380-608-3-30-230</f>
        <v>849</v>
      </c>
      <c r="Q137" s="76">
        <f>ТаблицаКорпус[[#This Row],[Ширина]]-3</f>
        <v>597</v>
      </c>
      <c r="R137" s="76">
        <v>50</v>
      </c>
      <c r="S137" s="76">
        <f>ТаблицаКорпус[[#This Row],[Ширина]]-3</f>
        <v>597</v>
      </c>
      <c r="T137" s="76">
        <v>230</v>
      </c>
      <c r="U137" s="76">
        <f>ТаблицаКорпус[[#This Row],[Ширина]]-3</f>
        <v>597</v>
      </c>
      <c r="V137" s="76"/>
      <c r="W137" s="76"/>
      <c r="X137" s="76"/>
    </row>
    <row r="138" spans="1:24" ht="154.15" customHeight="1">
      <c r="B138" s="94"/>
      <c r="C138" s="78"/>
      <c r="D138" s="79" t="s">
        <v>109</v>
      </c>
      <c r="E138" s="80">
        <v>2100</v>
      </c>
      <c r="F138" s="80">
        <v>600</v>
      </c>
      <c r="G138" s="80">
        <v>580</v>
      </c>
      <c r="H138" s="80">
        <v>0</v>
      </c>
      <c r="I138" s="81">
        <f>((E138*2+F138*(ТаблицаКорпус[[#This Row],[Кол-во полок]]+6))*G138+F138*(500+250))/1000000*$O$1+2*$P$1</f>
        <v>16276.800000000001</v>
      </c>
      <c r="J138" s="82">
        <v>0</v>
      </c>
      <c r="K138" s="83">
        <f t="shared" si="31"/>
        <v>0</v>
      </c>
      <c r="L138" s="84"/>
      <c r="M138" s="85" t="s">
        <v>285</v>
      </c>
      <c r="N138" s="86"/>
      <c r="O138" s="76">
        <v>3</v>
      </c>
      <c r="P138" s="76">
        <f>(ТаблицаКорпус[[#This Row],[Высота]]-380-608-3-30-230)/2-3</f>
        <v>421.5</v>
      </c>
      <c r="Q138" s="76">
        <f>ТаблицаКорпус[[#This Row],[Ширина]]-3</f>
        <v>597</v>
      </c>
      <c r="R138" s="76">
        <f>ТаблицаКорпус[[#This Row],[Фасад 1 Высота]]</f>
        <v>421.5</v>
      </c>
      <c r="S138" s="76">
        <f>ТаблицаКорпус[[#This Row],[Ширина]]-3</f>
        <v>597</v>
      </c>
      <c r="T138" s="76">
        <v>50</v>
      </c>
      <c r="U138" s="76">
        <f>ТаблицаКорпус[[#This Row],[Ширина]]-3</f>
        <v>597</v>
      </c>
      <c r="V138" s="76">
        <v>230</v>
      </c>
      <c r="W138" s="76">
        <f>ТаблицаКорпус[[#This Row],[Ширина]]-3</f>
        <v>597</v>
      </c>
      <c r="X138" s="76"/>
    </row>
    <row r="139" spans="1:24" ht="154.15" customHeight="1">
      <c r="B139" s="94"/>
      <c r="C139" s="78"/>
      <c r="D139" s="79" t="s">
        <v>110</v>
      </c>
      <c r="E139" s="80">
        <v>2100</v>
      </c>
      <c r="F139" s="80">
        <v>600</v>
      </c>
      <c r="G139" s="80">
        <v>580</v>
      </c>
      <c r="H139" s="80">
        <v>2</v>
      </c>
      <c r="I139" s="81">
        <f>((E139*2+F139*(ТаблицаКорпус[[#This Row],[Кол-во полок]]+5))*G139+F139*(500+250))/1000000*$O$1+2*$P$1</f>
        <v>17390.400000000001</v>
      </c>
      <c r="J139" s="82">
        <v>0</v>
      </c>
      <c r="K139" s="83">
        <f t="shared" si="31"/>
        <v>0</v>
      </c>
      <c r="L139" s="84"/>
      <c r="M139" s="85" t="s">
        <v>286</v>
      </c>
      <c r="N139" s="86"/>
      <c r="O139" s="76">
        <v>2</v>
      </c>
      <c r="P139" s="76">
        <f>ТаблицаКорпус[[#This Row],[Высота]]-380-608-3-30-230</f>
        <v>849</v>
      </c>
      <c r="Q139" s="76">
        <f>ТаблицаКорпус[[#This Row],[Ширина]]-3</f>
        <v>597</v>
      </c>
      <c r="R139" s="76">
        <v>50</v>
      </c>
      <c r="S139" s="76">
        <f>ТаблицаКорпус[[#This Row],[Ширина]]-3</f>
        <v>597</v>
      </c>
      <c r="T139" s="76">
        <v>230</v>
      </c>
      <c r="U139" s="76">
        <f>ТаблицаКорпус[[#This Row],[Ширина]]-3</f>
        <v>597</v>
      </c>
      <c r="V139" s="76"/>
      <c r="W139" s="76"/>
      <c r="X139" s="76"/>
    </row>
    <row r="140" spans="1:24" ht="154.15" customHeight="1">
      <c r="B140" s="94"/>
      <c r="C140" s="78"/>
      <c r="D140" s="79" t="s">
        <v>111</v>
      </c>
      <c r="E140" s="80">
        <v>2100</v>
      </c>
      <c r="F140" s="80">
        <v>600</v>
      </c>
      <c r="G140" s="80">
        <v>580</v>
      </c>
      <c r="H140" s="80">
        <v>3</v>
      </c>
      <c r="I140" s="81">
        <f>((E140*2+F140*(ТаблицаКорпус[[#This Row],[Кол-во полок]]+3))*G140+F140*(1000+500))/1000000*$O$1+4*$P$1</f>
        <v>18076.800000000003</v>
      </c>
      <c r="J140" s="82">
        <v>0</v>
      </c>
      <c r="K140" s="83">
        <f t="shared" si="31"/>
        <v>0</v>
      </c>
      <c r="L140" s="84"/>
      <c r="M140" s="85" t="s">
        <v>287</v>
      </c>
      <c r="N140" s="86"/>
      <c r="O140" s="76">
        <v>3</v>
      </c>
      <c r="P140" s="76">
        <f>ТаблицаКорпус[[#This Row],[Высота]]-780</f>
        <v>1320</v>
      </c>
      <c r="Q140" s="76">
        <f>ТаблицаКорпус[[#This Row],[Ширина]]-3</f>
        <v>597</v>
      </c>
      <c r="R140" s="76">
        <f>(ТаблицаКорпус[[#This Row],[Высота]]-ТаблицаКорпус[[#This Row],[Фасад 1 Высота]])/2-30</f>
        <v>360</v>
      </c>
      <c r="S140" s="76">
        <f>ТаблицаКорпус[[#This Row],[Ширина]]-3</f>
        <v>597</v>
      </c>
      <c r="T140" s="76">
        <f>(ТаблицаКорпус[[#This Row],[Высота]]-ТаблицаКорпус[[#This Row],[Фасад 1 Высота]])/2-30</f>
        <v>360</v>
      </c>
      <c r="U140" s="76">
        <f>ТаблицаКорпус[[#This Row],[Ширина]]-3</f>
        <v>597</v>
      </c>
      <c r="V140" s="76"/>
      <c r="W140" s="76"/>
      <c r="X140" s="76"/>
    </row>
    <row r="141" spans="1:24" ht="154.15" customHeight="1">
      <c r="B141" s="94"/>
      <c r="C141" s="78"/>
      <c r="D141" s="79" t="s">
        <v>112</v>
      </c>
      <c r="E141" s="80">
        <v>2100</v>
      </c>
      <c r="F141" s="80">
        <v>600</v>
      </c>
      <c r="G141" s="80">
        <v>580</v>
      </c>
      <c r="H141" s="80">
        <v>4</v>
      </c>
      <c r="I141" s="81">
        <f>((E141*2+F141*(ТаблицаКорпус[[#This Row],[Кол-во полок]]+3))*G141)/1000000*$O$1+2*$P$1</f>
        <v>15950.4</v>
      </c>
      <c r="J141" s="82">
        <v>0</v>
      </c>
      <c r="K141" s="83">
        <f t="shared" si="31"/>
        <v>0</v>
      </c>
      <c r="L141" s="84"/>
      <c r="M141" s="85" t="s">
        <v>288</v>
      </c>
      <c r="N141" s="86"/>
      <c r="O141" s="76">
        <v>2</v>
      </c>
      <c r="P141" s="76">
        <f>ТаблицаКорпус[[#This Row],[Высота]]-780</f>
        <v>1320</v>
      </c>
      <c r="Q141" s="76">
        <f>ТаблицаКорпус[[#This Row],[Ширина]]-3</f>
        <v>597</v>
      </c>
      <c r="R141" s="76">
        <f>ТаблицаКорпус[[#This Row],[Высота]]-ТаблицаКорпус[[#This Row],[Фасад 1 Высота]]-30</f>
        <v>750</v>
      </c>
      <c r="S141" s="76">
        <f>ТаблицаКорпус[[#This Row],[Ширина]]-3</f>
        <v>597</v>
      </c>
      <c r="T141" s="76"/>
      <c r="U141" s="76"/>
      <c r="V141" s="76"/>
      <c r="W141" s="76"/>
      <c r="X141" s="76"/>
    </row>
    <row r="142" spans="1:24">
      <c r="A142" s="70" t="s">
        <v>113</v>
      </c>
      <c r="B142" s="88"/>
      <c r="C142" s="72"/>
      <c r="D142" s="72"/>
      <c r="E142" s="89"/>
      <c r="F142" s="89"/>
      <c r="G142" s="89"/>
      <c r="H142" s="90"/>
      <c r="I142" s="74"/>
      <c r="J142" s="89"/>
      <c r="K142" s="75"/>
      <c r="L142" s="91"/>
      <c r="M142" s="91"/>
      <c r="N142" s="92"/>
      <c r="O142" s="76"/>
      <c r="P142" s="76"/>
      <c r="Q142" s="76">
        <f>ТаблицаКорпус[[#This Row],[Ширина]]-3</f>
        <v>-3</v>
      </c>
      <c r="R142" s="76">
        <f>ТаблицаКорпус[[#This Row],[Фасад 1 Высота]]</f>
        <v>0</v>
      </c>
      <c r="S142" s="76">
        <f>ТаблицаКорпус[[#This Row],[Ширина]]-3</f>
        <v>-3</v>
      </c>
      <c r="T142" s="76">
        <f>ТаблицаКорпус[[#This Row],[Фасад 1 Высота]]</f>
        <v>0</v>
      </c>
      <c r="U142" s="76">
        <f>ТаблицаКорпус[[#This Row],[Ширина]]-3</f>
        <v>-3</v>
      </c>
      <c r="V142" s="76">
        <f>ТаблицаКорпус[[#This Row],[Фасад 1 Высота]]</f>
        <v>0</v>
      </c>
      <c r="W142" s="76">
        <f>ТаблицаКорпус[[#This Row],[Ширина]]-3</f>
        <v>-3</v>
      </c>
      <c r="X142" s="76"/>
    </row>
    <row r="143" spans="1:24" ht="154.15" customHeight="1">
      <c r="B143" s="94"/>
      <c r="C143" s="78"/>
      <c r="D143" s="79" t="s">
        <v>114</v>
      </c>
      <c r="E143" s="80">
        <v>2400</v>
      </c>
      <c r="F143" s="80">
        <v>600</v>
      </c>
      <c r="G143" s="80">
        <v>560</v>
      </c>
      <c r="H143" s="80">
        <v>2</v>
      </c>
      <c r="I143" s="81">
        <f>((E143*2+F143*(ТаблицаКорпус[[#This Row],[Кол-во полок]]+4))*G143+F143*(1000+500))/1000000*$O$1</f>
        <v>17932.8</v>
      </c>
      <c r="J143" s="82">
        <v>0</v>
      </c>
      <c r="K143" s="83">
        <f t="shared" ref="K143:K172" si="32">I143*J143</f>
        <v>0</v>
      </c>
      <c r="L143" s="84"/>
      <c r="M143" s="85" t="s">
        <v>289</v>
      </c>
      <c r="N143" s="86"/>
      <c r="O143" s="76">
        <v>3</v>
      </c>
      <c r="P143" s="76">
        <f>ТаблицаКорпус[[#This Row],[Высота]]-608-3-720</f>
        <v>1069</v>
      </c>
      <c r="Q143" s="76">
        <f>ТаблицаКорпус[[#This Row],[Ширина]]-3</f>
        <v>597</v>
      </c>
      <c r="R143" s="76">
        <f>720/2-3</f>
        <v>357</v>
      </c>
      <c r="S143" s="76">
        <f>ТаблицаКорпус[[#This Row],[Ширина]]-3</f>
        <v>597</v>
      </c>
      <c r="T143" s="76">
        <f>720/2-3</f>
        <v>357</v>
      </c>
      <c r="U143" s="76">
        <f>ТаблицаКорпус[[#This Row],[Ширина]]-3</f>
        <v>597</v>
      </c>
      <c r="V143" s="76"/>
      <c r="W143" s="76"/>
      <c r="X143" s="76"/>
    </row>
    <row r="144" spans="1:24" ht="154.15" customHeight="1">
      <c r="B144" s="94"/>
      <c r="C144" s="78"/>
      <c r="D144" s="79" t="s">
        <v>115</v>
      </c>
      <c r="E144" s="80">
        <v>2040</v>
      </c>
      <c r="F144" s="80">
        <v>600</v>
      </c>
      <c r="G144" s="80">
        <v>560</v>
      </c>
      <c r="H144" s="80">
        <v>2</v>
      </c>
      <c r="I144" s="81">
        <f>((E144*2+F144*(ТаблицаКорпус[[#This Row],[Кол-во полок]]+5))*G144+F144*(1000+500))/1000000*$O$1</f>
        <v>17717.760000000002</v>
      </c>
      <c r="J144" s="82">
        <v>0</v>
      </c>
      <c r="K144" s="83">
        <f t="shared" si="32"/>
        <v>0</v>
      </c>
      <c r="L144" s="84"/>
      <c r="M144" s="85" t="s">
        <v>290</v>
      </c>
      <c r="N144" s="86"/>
      <c r="O144" s="76">
        <v>4</v>
      </c>
      <c r="P144" s="76">
        <f>(ТаблицаКорпус[[#This Row],[Высота]]-608-3-720)/2-3</f>
        <v>351.5</v>
      </c>
      <c r="Q144" s="76">
        <f>ТаблицаКорпус[[#This Row],[Ширина]]-3</f>
        <v>597</v>
      </c>
      <c r="R144" s="76">
        <f>ТаблицаКорпус[[#This Row],[Фасад 1 Высота]]</f>
        <v>351.5</v>
      </c>
      <c r="S144" s="76">
        <f>ТаблицаКорпус[[#This Row],[Ширина]]-3</f>
        <v>597</v>
      </c>
      <c r="T144" s="76">
        <f>720/2-3</f>
        <v>357</v>
      </c>
      <c r="U144" s="76">
        <f>ТаблицаКорпус[[#This Row],[Ширина]]-3</f>
        <v>597</v>
      </c>
      <c r="V144" s="76">
        <f>720/2-3</f>
        <v>357</v>
      </c>
      <c r="W144" s="76">
        <f>ТаблицаКорпус[[#This Row],[Ширина]]-3</f>
        <v>597</v>
      </c>
      <c r="X144" s="76"/>
    </row>
    <row r="145" spans="2:24" ht="154.15" customHeight="1">
      <c r="B145" s="94"/>
      <c r="C145" s="78"/>
      <c r="D145" s="79" t="s">
        <v>116</v>
      </c>
      <c r="E145" s="80">
        <v>2040</v>
      </c>
      <c r="F145" s="80">
        <v>600</v>
      </c>
      <c r="G145" s="80">
        <v>560</v>
      </c>
      <c r="H145" s="80">
        <v>2</v>
      </c>
      <c r="I145" s="81">
        <f>((E145*2+F145*(ТаблицаКорпус[[#This Row],[Кол-во полок]]+5))*G145+F145*(1000+500))/1000000*$O$1</f>
        <v>17717.760000000002</v>
      </c>
      <c r="J145" s="82">
        <v>0</v>
      </c>
      <c r="K145" s="83">
        <f t="shared" si="32"/>
        <v>0</v>
      </c>
      <c r="L145" s="84"/>
      <c r="M145" s="85" t="s">
        <v>291</v>
      </c>
      <c r="N145" s="86"/>
      <c r="O145" s="76">
        <v>4</v>
      </c>
      <c r="P145" s="76">
        <f>(ТаблицаКорпус[[#This Row],[Высота]]-608-3-720)/2-3</f>
        <v>351.5</v>
      </c>
      <c r="Q145" s="76">
        <f>ТаблицаКорпус[[#This Row],[Ширина]]-3</f>
        <v>597</v>
      </c>
      <c r="R145" s="76">
        <f>ТаблицаКорпус[[#This Row],[Фасад 1 Высота]]</f>
        <v>351.5</v>
      </c>
      <c r="S145" s="76">
        <f>ТаблицаКорпус[[#This Row],[Ширина]]-3</f>
        <v>597</v>
      </c>
      <c r="T145" s="76">
        <f>720/2-3</f>
        <v>357</v>
      </c>
      <c r="U145" s="76">
        <f>ТаблицаКорпус[[#This Row],[Ширина]]-3</f>
        <v>597</v>
      </c>
      <c r="V145" s="76">
        <f>720/2-3</f>
        <v>357</v>
      </c>
      <c r="W145" s="76">
        <f>ТаблицаКорпус[[#This Row],[Ширина]]-3</f>
        <v>597</v>
      </c>
      <c r="X145" s="76"/>
    </row>
    <row r="146" spans="2:24" ht="154.15" customHeight="1">
      <c r="B146" s="94"/>
      <c r="C146" s="78"/>
      <c r="D146" s="79" t="s">
        <v>117</v>
      </c>
      <c r="E146" s="80">
        <v>2040</v>
      </c>
      <c r="F146" s="80">
        <v>600</v>
      </c>
      <c r="G146" s="80">
        <v>560</v>
      </c>
      <c r="H146" s="80">
        <v>2</v>
      </c>
      <c r="I146" s="81">
        <f>((E146*2+F146*(ТаблицаКорпус[[#This Row],[Кол-во полок]]+4))*G146+F146*(1500+450))/1000000*$O$1</f>
        <v>17506.559999999998</v>
      </c>
      <c r="J146" s="82">
        <v>0</v>
      </c>
      <c r="K146" s="83">
        <f t="shared" si="32"/>
        <v>0</v>
      </c>
      <c r="L146" s="84"/>
      <c r="M146" s="85" t="s">
        <v>292</v>
      </c>
      <c r="N146" s="86"/>
      <c r="O146" s="76">
        <v>4</v>
      </c>
      <c r="P146" s="76">
        <f>ТаблицаКорпус[[#This Row],[Высота]]-608-3-720</f>
        <v>709</v>
      </c>
      <c r="Q146" s="76">
        <f>ТаблицаКорпус[[#This Row],[Ширина]]-3</f>
        <v>597</v>
      </c>
      <c r="R146" s="76">
        <f>720/4-3</f>
        <v>177</v>
      </c>
      <c r="S146" s="76">
        <f>ТаблицаКорпус[[#This Row],[Ширина]]-3</f>
        <v>597</v>
      </c>
      <c r="T146" s="76">
        <f>720/4-3</f>
        <v>177</v>
      </c>
      <c r="U146" s="76">
        <f>ТаблицаКорпус[[#This Row],[Ширина]]-3</f>
        <v>597</v>
      </c>
      <c r="V146" s="76">
        <f>720/2-3</f>
        <v>357</v>
      </c>
      <c r="W146" s="76">
        <f>ТаблицаКорпус[[#This Row],[Ширина]]-3</f>
        <v>597</v>
      </c>
      <c r="X146" s="76"/>
    </row>
    <row r="147" spans="2:24" ht="154.15" customHeight="1">
      <c r="B147" s="94"/>
      <c r="C147" s="78"/>
      <c r="D147" s="79" t="s">
        <v>118</v>
      </c>
      <c r="E147" s="80">
        <v>2040</v>
      </c>
      <c r="F147" s="80">
        <v>600</v>
      </c>
      <c r="G147" s="80">
        <v>560</v>
      </c>
      <c r="H147" s="80">
        <v>2</v>
      </c>
      <c r="I147" s="81">
        <f>((E147*2+F147*(ТаблицаКорпус[[#This Row],[Кол-во полок]]+4))*G147+F147*(1500+500))/1000000*$O$1</f>
        <v>17602.560000000001</v>
      </c>
      <c r="J147" s="82">
        <v>0</v>
      </c>
      <c r="K147" s="83">
        <f t="shared" si="32"/>
        <v>0</v>
      </c>
      <c r="L147" s="84"/>
      <c r="M147" s="85" t="s">
        <v>293</v>
      </c>
      <c r="N147" s="86"/>
      <c r="O147" s="76">
        <v>4</v>
      </c>
      <c r="P147" s="76">
        <f>ТаблицаКорпус[[#This Row],[Высота]]-608-3-720</f>
        <v>709</v>
      </c>
      <c r="Q147" s="76">
        <f>ТаблицаКорпус[[#This Row],[Ширина]]-3</f>
        <v>597</v>
      </c>
      <c r="R147" s="76">
        <f>(720/4)-3</f>
        <v>177</v>
      </c>
      <c r="S147" s="76">
        <f>ТаблицаКорпус[[#This Row],[Ширина]]-3</f>
        <v>597</v>
      </c>
      <c r="T147" s="76">
        <f>(720-177-3)/2-3</f>
        <v>267</v>
      </c>
      <c r="U147" s="76">
        <f>ТаблицаКорпус[[#This Row],[Ширина]]-3</f>
        <v>597</v>
      </c>
      <c r="V147" s="76">
        <f>(720-177-3)/2-3</f>
        <v>267</v>
      </c>
      <c r="W147" s="76">
        <f>ТаблицаКорпус[[#This Row],[Ширина]]-3</f>
        <v>597</v>
      </c>
      <c r="X147" s="76"/>
    </row>
    <row r="148" spans="2:24" ht="154.15" customHeight="1">
      <c r="B148" s="94"/>
      <c r="C148" s="78"/>
      <c r="D148" s="79" t="s">
        <v>119</v>
      </c>
      <c r="E148" s="80">
        <v>2400</v>
      </c>
      <c r="F148" s="80">
        <v>600</v>
      </c>
      <c r="G148" s="80">
        <v>560</v>
      </c>
      <c r="H148" s="80">
        <v>0</v>
      </c>
      <c r="I148" s="81">
        <f>((E148*2+F148*(ТаблицаКорпус[[#This Row],[Кол-во полок]]+5))*G148+F148*(1500+500))/1000000*$O$1</f>
        <v>17817.599999999999</v>
      </c>
      <c r="J148" s="82">
        <v>0</v>
      </c>
      <c r="K148" s="83">
        <f t="shared" si="32"/>
        <v>0</v>
      </c>
      <c r="L148" s="84"/>
      <c r="M148" s="85" t="s">
        <v>294</v>
      </c>
      <c r="N148" s="86"/>
      <c r="O148" s="76">
        <v>5</v>
      </c>
      <c r="P148" s="76">
        <f>(ТаблицаКорпус[[#This Row],[Высота]]-ТаблицаКорпус[[#This Row],[Фасад 3 Высота]]-3-608-3)/2-3</f>
        <v>531.5</v>
      </c>
      <c r="Q148" s="76">
        <f>ТаблицаКорпус[[#This Row],[Ширина]]-3</f>
        <v>597</v>
      </c>
      <c r="R148" s="76">
        <f>ТаблицаКорпус[[#This Row],[Фасад 1 Высота]]</f>
        <v>531.5</v>
      </c>
      <c r="S148" s="76">
        <f>ТаблицаКорпус[[#This Row],[Ширина]]-3</f>
        <v>597</v>
      </c>
      <c r="T148" s="76">
        <f>720-3</f>
        <v>717</v>
      </c>
      <c r="U148" s="76">
        <f>ТаблицаКорпус[[#This Row],[Ширина]]-3</f>
        <v>597</v>
      </c>
      <c r="V148" s="76">
        <v>0</v>
      </c>
      <c r="W148" s="76">
        <v>0</v>
      </c>
      <c r="X148" s="76"/>
    </row>
    <row r="149" spans="2:24" ht="154.15" customHeight="1">
      <c r="B149" s="94"/>
      <c r="C149" s="78"/>
      <c r="D149" s="79" t="s">
        <v>120</v>
      </c>
      <c r="E149" s="80">
        <v>2400</v>
      </c>
      <c r="F149" s="80">
        <v>600</v>
      </c>
      <c r="G149" s="80">
        <v>560</v>
      </c>
      <c r="H149" s="80">
        <v>3</v>
      </c>
      <c r="I149" s="81">
        <f>((E149*2+F149*(ТаблицаКорпус[[#This Row],[Кол-во полок]]+5))*G149)/1000000*$O$1</f>
        <v>17203.2</v>
      </c>
      <c r="J149" s="82">
        <v>0</v>
      </c>
      <c r="K149" s="83">
        <f t="shared" si="32"/>
        <v>0</v>
      </c>
      <c r="L149" s="84"/>
      <c r="M149" s="85" t="s">
        <v>295</v>
      </c>
      <c r="N149" s="86"/>
      <c r="O149" s="76">
        <v>3</v>
      </c>
      <c r="P149" s="76">
        <f>(ТаблицаКорпус[[#This Row],[Высота]]-608-ТаблицаКорпус[[#This Row],[Фасад 3 Высота]]-3)/2-3</f>
        <v>533</v>
      </c>
      <c r="Q149" s="76">
        <f>ТаблицаКорпус[[#This Row],[Ширина]]-3</f>
        <v>597</v>
      </c>
      <c r="R149" s="76">
        <f>ТаблицаКорпус[[#This Row],[Фасад 1 Высота]]</f>
        <v>533</v>
      </c>
      <c r="S149" s="76">
        <f>ТаблицаКорпус[[#This Row],[Ширина]]-3</f>
        <v>597</v>
      </c>
      <c r="T149" s="76">
        <f>720-3</f>
        <v>717</v>
      </c>
      <c r="U149" s="76">
        <f>ТаблицаКорпус[[#This Row],[Ширина]]-3</f>
        <v>597</v>
      </c>
      <c r="V149" s="76"/>
      <c r="W149" s="76"/>
      <c r="X149" s="76"/>
    </row>
    <row r="150" spans="2:24" ht="154.15" customHeight="1">
      <c r="B150" s="94"/>
      <c r="C150" s="78"/>
      <c r="D150" s="79" t="s">
        <v>121</v>
      </c>
      <c r="E150" s="80">
        <v>2400</v>
      </c>
      <c r="F150" s="80">
        <v>600</v>
      </c>
      <c r="G150" s="80">
        <v>560</v>
      </c>
      <c r="H150" s="80">
        <v>3</v>
      </c>
      <c r="I150" s="81">
        <f>((E150*2+F150*(ТаблицаКорпус[[#This Row],[Кол-во полок]]+4))*G150)/1000000*$O$1</f>
        <v>16128</v>
      </c>
      <c r="J150" s="82">
        <v>0</v>
      </c>
      <c r="K150" s="83">
        <f t="shared" si="32"/>
        <v>0</v>
      </c>
      <c r="L150" s="84"/>
      <c r="M150" s="85" t="s">
        <v>296</v>
      </c>
      <c r="N150" s="86"/>
      <c r="O150" s="76">
        <v>2</v>
      </c>
      <c r="P150" s="76">
        <f>ТаблицаКорпус[[#This Row],[Высота]]-ТаблицаКорпус[[#This Row],[Фасад 2 Высота]]-3-608-3-380-3</f>
        <v>686</v>
      </c>
      <c r="Q150" s="76">
        <f>ТаблицаКорпус[[#This Row],[Ширина]]-3</f>
        <v>597</v>
      </c>
      <c r="R150" s="76">
        <f>720-3</f>
        <v>717</v>
      </c>
      <c r="S150" s="76">
        <f>ТаблицаКорпус[[#This Row],[Ширина]]-3</f>
        <v>597</v>
      </c>
      <c r="T150" s="76"/>
      <c r="U150" s="76"/>
      <c r="V150" s="76"/>
      <c r="W150" s="76"/>
      <c r="X150" s="76"/>
    </row>
    <row r="151" spans="2:24" ht="154.15" customHeight="1">
      <c r="B151" s="94"/>
      <c r="C151" s="78"/>
      <c r="D151" s="79" t="s">
        <v>122</v>
      </c>
      <c r="E151" s="80">
        <v>2400</v>
      </c>
      <c r="F151" s="80">
        <v>600</v>
      </c>
      <c r="G151" s="80">
        <v>560</v>
      </c>
      <c r="H151" s="80">
        <v>2</v>
      </c>
      <c r="I151" s="81">
        <f>((E151*2+F151*(ТаблицаКорпус[[#This Row],[Кол-во полок]]+5))*G151+F151*(500+250))/1000000*$O$1</f>
        <v>17568</v>
      </c>
      <c r="J151" s="82">
        <v>0</v>
      </c>
      <c r="K151" s="83">
        <f t="shared" si="32"/>
        <v>0</v>
      </c>
      <c r="L151" s="84"/>
      <c r="M151" s="85" t="s">
        <v>297</v>
      </c>
      <c r="N151" s="86"/>
      <c r="O151" s="76">
        <v>3</v>
      </c>
      <c r="P151" s="76">
        <f>(ТаблицаКорпус[[#This Row],[Высота]]-608-ТаблицаКорпус[[#This Row],[Фасад 3 Высота]]-3)/2-3</f>
        <v>713</v>
      </c>
      <c r="Q151" s="76">
        <f>ТаблицаКорпус[[#This Row],[Ширина]]-3</f>
        <v>597</v>
      </c>
      <c r="R151" s="76">
        <f>ТаблицаКорпус[[#This Row],[Фасад 1 Высота]]</f>
        <v>713</v>
      </c>
      <c r="S151" s="76">
        <f>ТаблицаКорпус[[#This Row],[Ширина]]-3</f>
        <v>597</v>
      </c>
      <c r="T151" s="76">
        <f>360-3</f>
        <v>357</v>
      </c>
      <c r="U151" s="76">
        <f>ТаблицаКорпус[[#This Row],[Ширина]]-3</f>
        <v>597</v>
      </c>
      <c r="V151" s="76"/>
      <c r="W151" s="76"/>
      <c r="X151" s="76"/>
    </row>
    <row r="152" spans="2:24" ht="154.15" customHeight="1">
      <c r="B152" s="94"/>
      <c r="C152" s="78"/>
      <c r="D152" s="79" t="s">
        <v>123</v>
      </c>
      <c r="E152" s="80">
        <v>2040</v>
      </c>
      <c r="F152" s="80">
        <v>600</v>
      </c>
      <c r="G152" s="80">
        <v>560</v>
      </c>
      <c r="H152" s="80">
        <v>3</v>
      </c>
      <c r="I152" s="81">
        <f>((E152*2+F152*(ТаблицаКорпус[[#This Row],[Кол-во полок]]+4))*G152+F152*(500+250))/1000000*$O$1</f>
        <v>16277.76</v>
      </c>
      <c r="J152" s="82">
        <v>0</v>
      </c>
      <c r="K152" s="83">
        <f t="shared" si="32"/>
        <v>0</v>
      </c>
      <c r="L152" s="84"/>
      <c r="M152" s="85" t="s">
        <v>298</v>
      </c>
      <c r="N152" s="86"/>
      <c r="O152" s="76">
        <v>2</v>
      </c>
      <c r="P152" s="76">
        <f>ТаблицаКорпус[[#This Row],[Высота]]-ТаблицаКорпус[[#This Row],[Фасад 2 Высота]]-3-608-3-380-3</f>
        <v>686</v>
      </c>
      <c r="Q152" s="76">
        <f>ТаблицаКорпус[[#This Row],[Ширина]]-3</f>
        <v>597</v>
      </c>
      <c r="R152" s="76">
        <f>360-3</f>
        <v>357</v>
      </c>
      <c r="S152" s="76">
        <f>ТаблицаКорпус[[#This Row],[Ширина]]-3</f>
        <v>597</v>
      </c>
      <c r="T152" s="76"/>
      <c r="U152" s="76"/>
      <c r="V152" s="76"/>
      <c r="W152" s="76"/>
      <c r="X152" s="76"/>
    </row>
    <row r="153" spans="2:24" ht="154.15" customHeight="1">
      <c r="B153" s="94"/>
      <c r="C153" s="78"/>
      <c r="D153" s="79" t="s">
        <v>124</v>
      </c>
      <c r="E153" s="80">
        <v>2400</v>
      </c>
      <c r="F153" s="80">
        <v>600</v>
      </c>
      <c r="G153" s="80">
        <v>560</v>
      </c>
      <c r="H153" s="80">
        <v>1</v>
      </c>
      <c r="I153" s="81">
        <f>((E153*2+F153*(ТаблицаКорпус[[#This Row],[Кол-во полок]]+5))*G153+F153*(1000+500))/1000000*$O$1</f>
        <v>17932.8</v>
      </c>
      <c r="J153" s="82">
        <v>0</v>
      </c>
      <c r="K153" s="83">
        <f t="shared" si="32"/>
        <v>0</v>
      </c>
      <c r="L153" s="84"/>
      <c r="M153" s="85" t="s">
        <v>299</v>
      </c>
      <c r="N153" s="86"/>
      <c r="O153" s="76">
        <v>3</v>
      </c>
      <c r="P153" s="76">
        <f>ТаблицаКорпус[[#This Row],[Высота]]-380-3-608-720</f>
        <v>689</v>
      </c>
      <c r="Q153" s="76">
        <f>ТаблицаКорпус[[#This Row],[Ширина]]-3</f>
        <v>597</v>
      </c>
      <c r="R153" s="76">
        <f>720/2-3</f>
        <v>357</v>
      </c>
      <c r="S153" s="76">
        <f>ТаблицаКорпус[[#This Row],[Ширина]]-3</f>
        <v>597</v>
      </c>
      <c r="T153" s="76">
        <f>720/2-3</f>
        <v>357</v>
      </c>
      <c r="U153" s="76">
        <f>ТаблицаКорпус[[#This Row],[Ширина]]-3</f>
        <v>597</v>
      </c>
      <c r="V153" s="76"/>
      <c r="W153" s="76"/>
      <c r="X153" s="76"/>
    </row>
    <row r="154" spans="2:24" ht="154.15" customHeight="1">
      <c r="B154" s="94"/>
      <c r="C154" s="78"/>
      <c r="D154" s="79" t="s">
        <v>125</v>
      </c>
      <c r="E154" s="80">
        <v>2400</v>
      </c>
      <c r="F154" s="80">
        <v>600</v>
      </c>
      <c r="G154" s="80">
        <v>560</v>
      </c>
      <c r="H154" s="80">
        <v>1</v>
      </c>
      <c r="I154" s="81">
        <f>((E154*2+F154*(ТаблицаКорпус[[#This Row],[Кол-во полок]]+5))*G154+F154*(1500+450))/1000000*$O$1</f>
        <v>18796.8</v>
      </c>
      <c r="J154" s="82">
        <v>0</v>
      </c>
      <c r="K154" s="83">
        <f t="shared" si="32"/>
        <v>0</v>
      </c>
      <c r="L154" s="84"/>
      <c r="M154" s="85" t="s">
        <v>300</v>
      </c>
      <c r="N154" s="86"/>
      <c r="O154" s="76">
        <v>4</v>
      </c>
      <c r="P154" s="76">
        <f>ТаблицаКорпус[[#This Row],[Высота]]-380-3-608-720</f>
        <v>689</v>
      </c>
      <c r="Q154" s="76">
        <f>ТаблицаКорпус[[#This Row],[Ширина]]-3</f>
        <v>597</v>
      </c>
      <c r="R154" s="76">
        <f>720/4-3</f>
        <v>177</v>
      </c>
      <c r="S154" s="76">
        <f>ТаблицаКорпус[[#This Row],[Ширина]]-3</f>
        <v>597</v>
      </c>
      <c r="T154" s="76">
        <f>720/4-3</f>
        <v>177</v>
      </c>
      <c r="U154" s="76">
        <f>ТаблицаКорпус[[#This Row],[Ширина]]-3</f>
        <v>597</v>
      </c>
      <c r="V154" s="76">
        <f>720/2-3</f>
        <v>357</v>
      </c>
      <c r="W154" s="76">
        <f>ТаблицаКорпус[[#This Row],[Ширина]]-3</f>
        <v>597</v>
      </c>
      <c r="X154" s="76"/>
    </row>
    <row r="155" spans="2:24" ht="154.15" customHeight="1">
      <c r="B155" s="94"/>
      <c r="C155" s="78"/>
      <c r="D155" s="79" t="s">
        <v>126</v>
      </c>
      <c r="E155" s="80">
        <v>2400</v>
      </c>
      <c r="F155" s="80">
        <v>600</v>
      </c>
      <c r="G155" s="80">
        <v>560</v>
      </c>
      <c r="H155" s="80">
        <v>1</v>
      </c>
      <c r="I155" s="81">
        <f>((E155*2+F155*(ТаблицаКорпус[[#This Row],[Кол-во полок]]+5))*G155+F155*(1500+500))/1000000*$O$1</f>
        <v>18892.8</v>
      </c>
      <c r="J155" s="82">
        <v>0</v>
      </c>
      <c r="K155" s="83">
        <f t="shared" si="32"/>
        <v>0</v>
      </c>
      <c r="L155" s="84"/>
      <c r="M155" s="85" t="s">
        <v>301</v>
      </c>
      <c r="N155" s="86"/>
      <c r="O155" s="76">
        <v>4</v>
      </c>
      <c r="P155" s="76">
        <f>ТаблицаКорпус[[#This Row],[Высота]]-380-3-608-720</f>
        <v>689</v>
      </c>
      <c r="Q155" s="76">
        <f>ТаблицаКорпус[[#This Row],[Ширина]]-3</f>
        <v>597</v>
      </c>
      <c r="R155" s="76">
        <f>(720/4)-3</f>
        <v>177</v>
      </c>
      <c r="S155" s="76">
        <f>ТаблицаКорпус[[#This Row],[Ширина]]-3</f>
        <v>597</v>
      </c>
      <c r="T155" s="76">
        <f>(720-177-3)/2-3</f>
        <v>267</v>
      </c>
      <c r="U155" s="76">
        <f>ТаблицаКорпус[[#This Row],[Ширина]]-3</f>
        <v>597</v>
      </c>
      <c r="V155" s="76">
        <f>(720-177-3)/2-3</f>
        <v>267</v>
      </c>
      <c r="W155" s="76">
        <f>ТаблицаКорпус[[#This Row],[Ширина]]-3</f>
        <v>597</v>
      </c>
      <c r="X155" s="76"/>
    </row>
    <row r="156" spans="2:24" ht="154.15" customHeight="1">
      <c r="B156" s="94"/>
      <c r="C156" s="78"/>
      <c r="D156" s="79" t="s">
        <v>127</v>
      </c>
      <c r="E156" s="80">
        <v>2400</v>
      </c>
      <c r="F156" s="80">
        <v>600</v>
      </c>
      <c r="G156" s="80">
        <v>560</v>
      </c>
      <c r="H156" s="80">
        <v>2</v>
      </c>
      <c r="I156" s="81">
        <f>((E156*2+F156*(ТаблицаКорпус[[#This Row],[Кол-во полок]]+5))*G156)/1000000*$O$1</f>
        <v>16128</v>
      </c>
      <c r="J156" s="82">
        <v>0</v>
      </c>
      <c r="K156" s="83">
        <f t="shared" si="32"/>
        <v>0</v>
      </c>
      <c r="L156" s="84"/>
      <c r="M156" s="85" t="s">
        <v>302</v>
      </c>
      <c r="N156" s="86"/>
      <c r="O156" s="76">
        <v>2</v>
      </c>
      <c r="P156" s="76">
        <f>ТаблицаКорпус[[#This Row],[Высота]]-ТаблицаКорпус[[#This Row],[Фасад 2 Высота]]-3-608-3-380-3</f>
        <v>686</v>
      </c>
      <c r="Q156" s="76">
        <f>ТаблицаКорпус[[#This Row],[Ширина]]-3</f>
        <v>597</v>
      </c>
      <c r="R156" s="76">
        <f>720-3</f>
        <v>717</v>
      </c>
      <c r="S156" s="76">
        <f>ТаблицаКорпус[[#This Row],[Ширина]]-3</f>
        <v>597</v>
      </c>
      <c r="T156" s="76"/>
      <c r="U156" s="76"/>
      <c r="V156" s="76"/>
      <c r="W156" s="76"/>
      <c r="X156" s="76"/>
    </row>
    <row r="157" spans="2:24" ht="154.15" customHeight="1">
      <c r="B157" s="94"/>
      <c r="C157" s="78"/>
      <c r="D157" s="79" t="s">
        <v>128</v>
      </c>
      <c r="E157" s="80">
        <v>2400</v>
      </c>
      <c r="F157" s="80">
        <v>600</v>
      </c>
      <c r="G157" s="80">
        <v>560</v>
      </c>
      <c r="H157" s="80">
        <v>1</v>
      </c>
      <c r="I157" s="81">
        <f>((E157*2+F157*(ТаблицаКорпус[[#This Row],[Кол-во полок]]+5))*G157+F157*(1000+450))/1000000*$O$1</f>
        <v>17836.8</v>
      </c>
      <c r="J157" s="82">
        <v>0</v>
      </c>
      <c r="K157" s="83">
        <f t="shared" si="32"/>
        <v>0</v>
      </c>
      <c r="L157" s="84"/>
      <c r="M157" s="85" t="s">
        <v>303</v>
      </c>
      <c r="N157" s="86"/>
      <c r="O157" s="76">
        <v>2</v>
      </c>
      <c r="P157" s="76">
        <f>ТаблицаКорпус[[#This Row],[Высота]]-ТаблицаКорпус[[#This Row],[Фасад 2 Высота]]-3-608-3-380-3</f>
        <v>686</v>
      </c>
      <c r="Q157" s="76">
        <f>ТаблицаКорпус[[#This Row],[Ширина]]-3</f>
        <v>597</v>
      </c>
      <c r="R157" s="76">
        <f>720-3</f>
        <v>717</v>
      </c>
      <c r="S157" s="76">
        <f>ТаблицаКорпус[[#This Row],[Ширина]]-3</f>
        <v>597</v>
      </c>
      <c r="T157" s="76"/>
      <c r="U157" s="76"/>
      <c r="V157" s="76"/>
      <c r="W157" s="76"/>
      <c r="X157" s="76"/>
    </row>
    <row r="158" spans="2:24" ht="154.15" customHeight="1">
      <c r="B158" s="94"/>
      <c r="C158" s="78"/>
      <c r="D158" s="79" t="s">
        <v>130</v>
      </c>
      <c r="E158" s="80">
        <v>2400</v>
      </c>
      <c r="F158" s="80">
        <v>600</v>
      </c>
      <c r="G158" s="80">
        <v>560</v>
      </c>
      <c r="H158" s="80">
        <v>2</v>
      </c>
      <c r="I158" s="81">
        <f>((E158*2+F158*(ТаблицаКорпус[[#This Row],[Кол-во полок]]+5))*G158+F158*(500+250))/1000000*$O$1</f>
        <v>17568</v>
      </c>
      <c r="J158" s="82">
        <v>0</v>
      </c>
      <c r="K158" s="83">
        <f t="shared" si="32"/>
        <v>0</v>
      </c>
      <c r="L158" s="84"/>
      <c r="M158" s="85" t="s">
        <v>304</v>
      </c>
      <c r="N158" s="86"/>
      <c r="O158" s="76">
        <v>2</v>
      </c>
      <c r="P158" s="76">
        <f>(ТаблицаКорпус[[#This Row],[Высота]]-ТаблицаКорпус[[#This Row],[Фасад 3 Высота]]-3-608-3-380)-3</f>
        <v>1403</v>
      </c>
      <c r="Q158" s="76">
        <f>ТаблицаКорпус[[#This Row],[Ширина]]-3</f>
        <v>597</v>
      </c>
      <c r="R158" s="76">
        <f>360-3</f>
        <v>357</v>
      </c>
      <c r="S158" s="76">
        <f>ТаблицаКорпус[[#This Row],[Ширина]]-3</f>
        <v>597</v>
      </c>
      <c r="T158" s="76"/>
      <c r="U158" s="76"/>
      <c r="V158" s="76"/>
      <c r="W158" s="76"/>
      <c r="X158" s="76"/>
    </row>
    <row r="159" spans="2:24" ht="154.15" customHeight="1">
      <c r="B159" s="94"/>
      <c r="C159" s="78"/>
      <c r="D159" s="79" t="s">
        <v>349</v>
      </c>
      <c r="E159" s="80">
        <v>2400</v>
      </c>
      <c r="F159" s="80">
        <v>600</v>
      </c>
      <c r="G159" s="80">
        <v>560</v>
      </c>
      <c r="H159" s="80">
        <v>0</v>
      </c>
      <c r="I159" s="81">
        <f>((E159*2+F159*(ТаблицаКорпус[[#This Row],[Кол-во полок]]+6))*G159+F159*(500+250))/1000000*$O$1</f>
        <v>16492.8</v>
      </c>
      <c r="J159" s="82">
        <v>0</v>
      </c>
      <c r="K159" s="83">
        <f t="shared" si="32"/>
        <v>0</v>
      </c>
      <c r="L159" s="84"/>
      <c r="M159" s="85" t="s">
        <v>350</v>
      </c>
      <c r="N159" s="86"/>
      <c r="O159" s="76">
        <v>3</v>
      </c>
      <c r="P159" s="76">
        <f>(ТаблицаКорпус[[#This Row],[Высота]]-ТаблицаКорпус[[#This Row],[Фасад 3 Высота]]-3-608-3-380)/2-3</f>
        <v>521.5</v>
      </c>
      <c r="Q159" s="76">
        <f>ТаблицаКорпус[[#This Row],[Ширина]]-3</f>
        <v>597</v>
      </c>
      <c r="R159" s="76">
        <f>ТаблицаКорпус[[#This Row],[Фасад 1 Высота]]</f>
        <v>521.5</v>
      </c>
      <c r="S159" s="76">
        <f>ТаблицаКорпус[[#This Row],[Ширина]]-3</f>
        <v>597</v>
      </c>
      <c r="T159" s="76">
        <v>357</v>
      </c>
      <c r="U159" s="76">
        <f>ТаблицаКорпус[[#This Row],[Ширина]]-3</f>
        <v>597</v>
      </c>
      <c r="V159" s="76"/>
      <c r="W159" s="76"/>
      <c r="X159" s="76"/>
    </row>
    <row r="160" spans="2:24" ht="154.15" customHeight="1">
      <c r="B160" s="94"/>
      <c r="C160" s="78"/>
      <c r="D160" s="79" t="s">
        <v>129</v>
      </c>
      <c r="E160" s="80">
        <v>2040</v>
      </c>
      <c r="F160" s="80">
        <v>600</v>
      </c>
      <c r="G160" s="80">
        <v>560</v>
      </c>
      <c r="H160" s="80">
        <v>3</v>
      </c>
      <c r="I160" s="81">
        <f>((E160*2+F160*(ТаблицаКорпус[[#This Row],[Кол-во полок]]+3))*G160+F160*(1000+500))/1000000*$O$1</f>
        <v>16642.560000000001</v>
      </c>
      <c r="J160" s="82">
        <v>0</v>
      </c>
      <c r="K160" s="83">
        <f t="shared" si="32"/>
        <v>0</v>
      </c>
      <c r="L160" s="84"/>
      <c r="M160" s="85" t="s">
        <v>305</v>
      </c>
      <c r="N160" s="86"/>
      <c r="O160" s="76">
        <v>3</v>
      </c>
      <c r="P160" s="76">
        <f>ТаблицаКорпус[[#This Row],[Высота]]-720-3</f>
        <v>1317</v>
      </c>
      <c r="Q160" s="76">
        <f>ТаблицаКорпус[[#This Row],[Ширина]]-3</f>
        <v>597</v>
      </c>
      <c r="R160" s="76">
        <f>720/2-3</f>
        <v>357</v>
      </c>
      <c r="S160" s="76">
        <f>ТаблицаКорпус[[#This Row],[Ширина]]-3</f>
        <v>597</v>
      </c>
      <c r="T160" s="76">
        <f>720/2-3</f>
        <v>357</v>
      </c>
      <c r="U160" s="76">
        <f>ТаблицаКорпус[[#This Row],[Ширина]]-3</f>
        <v>597</v>
      </c>
      <c r="V160" s="76"/>
      <c r="W160" s="76"/>
      <c r="X160" s="76"/>
    </row>
    <row r="161" spans="1:24" ht="154.15" customHeight="1">
      <c r="B161" s="94"/>
      <c r="C161" s="78"/>
      <c r="D161" s="79" t="s">
        <v>351</v>
      </c>
      <c r="E161" s="80">
        <v>2040</v>
      </c>
      <c r="F161" s="80">
        <v>600</v>
      </c>
      <c r="G161" s="80">
        <v>560</v>
      </c>
      <c r="H161" s="80">
        <v>5</v>
      </c>
      <c r="I161" s="81">
        <f>((E161*2+F161*(ТаблицаКорпус[[#This Row],[Кол-во полок]]+2))*G161)/1000000*$O$1</f>
        <v>14837.76</v>
      </c>
      <c r="J161" s="82">
        <v>0</v>
      </c>
      <c r="K161" s="83">
        <f t="shared" si="32"/>
        <v>0</v>
      </c>
      <c r="L161" s="84"/>
      <c r="M161" s="85" t="s">
        <v>354</v>
      </c>
      <c r="N161" s="86"/>
      <c r="O161" s="76">
        <v>1</v>
      </c>
      <c r="P161" s="76">
        <f>ТаблицаКорпус[[#This Row],[Высота]]-3</f>
        <v>2037</v>
      </c>
      <c r="Q161" s="76">
        <f>ТаблицаКорпус[[#This Row],[Ширина]]-3</f>
        <v>597</v>
      </c>
      <c r="R161" s="76"/>
      <c r="S161" s="76"/>
      <c r="T161" s="76"/>
      <c r="U161" s="76"/>
      <c r="V161" s="76"/>
      <c r="W161" s="76"/>
      <c r="X161" s="76"/>
    </row>
    <row r="162" spans="1:24" ht="154.15" customHeight="1">
      <c r="B162" s="94"/>
      <c r="C162" s="78"/>
      <c r="D162" s="79" t="s">
        <v>352</v>
      </c>
      <c r="E162" s="80">
        <v>2400</v>
      </c>
      <c r="F162" s="80">
        <v>600</v>
      </c>
      <c r="G162" s="80">
        <v>560</v>
      </c>
      <c r="H162" s="80">
        <v>4</v>
      </c>
      <c r="I162" s="81">
        <f>((E162*2+F162*(ТаблицаКорпус[[#This Row],[Кол-во полок]]+3))*G162)/1000000*$O$1</f>
        <v>16128</v>
      </c>
      <c r="J162" s="82">
        <v>0</v>
      </c>
      <c r="K162" s="83">
        <f t="shared" si="32"/>
        <v>0</v>
      </c>
      <c r="L162" s="84"/>
      <c r="M162" s="85" t="s">
        <v>355</v>
      </c>
      <c r="N162" s="86"/>
      <c r="O162" s="76">
        <v>2</v>
      </c>
      <c r="P162" s="76">
        <f>ТаблицаКорпус[[#This Row],[Высота]]-720-3</f>
        <v>1677</v>
      </c>
      <c r="Q162" s="76">
        <f>ТаблицаКорпус[[#This Row],[Ширина]]-3</f>
        <v>597</v>
      </c>
      <c r="R162" s="76">
        <f>ТаблицаКорпус[[#This Row],[Высота]]-ТаблицаКорпус[[#This Row],[Фасад 1 Высота]]-3-3</f>
        <v>717</v>
      </c>
      <c r="S162" s="76">
        <f>ТаблицаКорпус[[#This Row],[Ширина]]-3</f>
        <v>597</v>
      </c>
      <c r="T162" s="76"/>
      <c r="U162" s="76"/>
      <c r="V162" s="76"/>
      <c r="W162" s="76"/>
      <c r="X162" s="76"/>
    </row>
    <row r="163" spans="1:24" ht="154.15" customHeight="1">
      <c r="B163" s="94"/>
      <c r="C163" s="78"/>
      <c r="D163" s="79" t="s">
        <v>353</v>
      </c>
      <c r="E163" s="80">
        <v>2400</v>
      </c>
      <c r="F163" s="80">
        <v>600</v>
      </c>
      <c r="G163" s="80">
        <v>560</v>
      </c>
      <c r="H163" s="80">
        <v>3</v>
      </c>
      <c r="I163" s="81">
        <f>((E163*2+F163*(ТаблицаКорпус[[#This Row],[Кол-во полок]]+4))*G163)/1000000*$O$1</f>
        <v>16128</v>
      </c>
      <c r="J163" s="82">
        <v>0</v>
      </c>
      <c r="K163" s="83">
        <f t="shared" si="32"/>
        <v>0</v>
      </c>
      <c r="L163" s="84"/>
      <c r="M163" s="85" t="s">
        <v>356</v>
      </c>
      <c r="N163" s="86"/>
      <c r="O163" s="76">
        <v>3</v>
      </c>
      <c r="P163" s="76">
        <f>(ТаблицаКорпус[[#This Row],[Высота]]-ТаблицаКорпус[[#This Row],[Фасад 3 Высота]]-3)/2-3</f>
        <v>837</v>
      </c>
      <c r="Q163" s="76">
        <f>ТаблицаКорпус[[#This Row],[Ширина]]-3</f>
        <v>597</v>
      </c>
      <c r="R163" s="76">
        <f>(ТаблицаКорпус[[#This Row],[Высота]]-ТаблицаКорпус[[#This Row],[Фасад 3 Высота]]-3)/2-3</f>
        <v>837</v>
      </c>
      <c r="S163" s="76">
        <f>ТаблицаКорпус[[#This Row],[Ширина]]-3</f>
        <v>597</v>
      </c>
      <c r="T163" s="76">
        <f>720-3</f>
        <v>717</v>
      </c>
      <c r="U163" s="76">
        <f>ТаблицаКорпус[[#This Row],[Ширина]]-3</f>
        <v>597</v>
      </c>
      <c r="V163" s="76"/>
      <c r="W163" s="76"/>
      <c r="X163" s="76"/>
    </row>
    <row r="164" spans="1:24" ht="154.15" customHeight="1">
      <c r="B164" s="94"/>
      <c r="C164" s="78"/>
      <c r="D164" s="79" t="s">
        <v>131</v>
      </c>
      <c r="E164" s="80">
        <v>2040</v>
      </c>
      <c r="F164" s="80">
        <v>600</v>
      </c>
      <c r="G164" s="80">
        <v>560</v>
      </c>
      <c r="H164" s="80">
        <v>4</v>
      </c>
      <c r="I164" s="81">
        <f>((E164*2+F164*(ТаблицаКорпус[[#This Row],[Кол-во полок]]+3))*G164+F164*(1000+400))/1000000*$O$1</f>
        <v>17525.759999999998</v>
      </c>
      <c r="J164" s="82">
        <v>0</v>
      </c>
      <c r="K164" s="83">
        <f t="shared" si="32"/>
        <v>0</v>
      </c>
      <c r="L164" s="84"/>
      <c r="M164" s="85" t="s">
        <v>306</v>
      </c>
      <c r="N164" s="86"/>
      <c r="O164" s="76">
        <v>2</v>
      </c>
      <c r="P164" s="76">
        <f>ТаблицаКорпус[[#This Row],[Высота]]-720-3</f>
        <v>1317</v>
      </c>
      <c r="Q164" s="76">
        <f>ТаблицаКорпус[[#This Row],[Ширина]]-3</f>
        <v>597</v>
      </c>
      <c r="R164" s="76">
        <f>ТаблицаКорпус[[#This Row],[Высота]]-ТаблицаКорпус[[#This Row],[Фасад 1 Высота]]-3-3</f>
        <v>717</v>
      </c>
      <c r="S164" s="76">
        <f>ТаблицаКорпус[[#This Row],[Ширина]]-3</f>
        <v>597</v>
      </c>
      <c r="T164" s="76"/>
      <c r="U164" s="76"/>
      <c r="V164" s="76"/>
      <c r="W164" s="76"/>
      <c r="X164" s="76"/>
    </row>
    <row r="165" spans="1:24" ht="154.15" customHeight="1">
      <c r="B165" s="94"/>
      <c r="C165" s="78"/>
      <c r="D165" s="79" t="s">
        <v>132</v>
      </c>
      <c r="E165" s="80">
        <v>2040</v>
      </c>
      <c r="F165" s="80">
        <v>600</v>
      </c>
      <c r="G165" s="80">
        <v>560</v>
      </c>
      <c r="H165" s="80">
        <v>2</v>
      </c>
      <c r="I165" s="81">
        <f>((E165*2+F165*(ТаблицаКорпус[[#This Row],[Кол-во полок]]+3))*G165+F165*(1500+600))/1000000*$O$1</f>
        <v>16719.36</v>
      </c>
      <c r="J165" s="82">
        <v>0</v>
      </c>
      <c r="K165" s="83">
        <f t="shared" si="32"/>
        <v>0</v>
      </c>
      <c r="L165" s="84"/>
      <c r="M165" s="85" t="s">
        <v>307</v>
      </c>
      <c r="N165" s="86"/>
      <c r="O165" s="76">
        <v>2</v>
      </c>
      <c r="P165" s="76">
        <f>ТаблицаКорпус[[#This Row],[Высота]]-720-3</f>
        <v>1317</v>
      </c>
      <c r="Q165" s="76">
        <f>ТаблицаКорпус[[#This Row],[Ширина]]-3</f>
        <v>597</v>
      </c>
      <c r="R165" s="76">
        <f>ТаблицаКорпус[[#This Row],[Высота]]-ТаблицаКорпус[[#This Row],[Фасад 1 Высота]]-3-3</f>
        <v>717</v>
      </c>
      <c r="S165" s="76">
        <f>ТаблицаКорпус[[#This Row],[Ширина]]-3</f>
        <v>597</v>
      </c>
      <c r="T165" s="76"/>
      <c r="U165" s="76"/>
      <c r="V165" s="76"/>
      <c r="W165" s="76"/>
      <c r="X165" s="76"/>
    </row>
    <row r="166" spans="1:24" ht="154.15" customHeight="1">
      <c r="B166" s="94"/>
      <c r="C166" s="78"/>
      <c r="D166" s="79" t="s">
        <v>133</v>
      </c>
      <c r="E166" s="80">
        <v>2040</v>
      </c>
      <c r="F166" s="80">
        <v>600</v>
      </c>
      <c r="G166" s="80">
        <v>560</v>
      </c>
      <c r="H166" s="80">
        <v>2</v>
      </c>
      <c r="I166" s="81">
        <f>((E166*2+F166*(ТаблицаКорпус[[#This Row],[Кол-во полок]]+3))*G166+F166*(2000+800))/1000000*$O$1</f>
        <v>18063.36</v>
      </c>
      <c r="J166" s="82">
        <v>0</v>
      </c>
      <c r="K166" s="83">
        <f t="shared" si="32"/>
        <v>0</v>
      </c>
      <c r="L166" s="84"/>
      <c r="M166" s="85" t="s">
        <v>308</v>
      </c>
      <c r="N166" s="86"/>
      <c r="O166" s="76">
        <v>2</v>
      </c>
      <c r="P166" s="76">
        <f>ТаблицаКорпус[[#This Row],[Высота]]-720-3</f>
        <v>1317</v>
      </c>
      <c r="Q166" s="76">
        <f>ТаблицаКорпус[[#This Row],[Ширина]]-3</f>
        <v>597</v>
      </c>
      <c r="R166" s="76">
        <f>ТаблицаКорпус[[#This Row],[Высота]]-ТаблицаКорпус[[#This Row],[Фасад 1 Высота]]-3-3</f>
        <v>717</v>
      </c>
      <c r="S166" s="76">
        <f>ТаблицаКорпус[[#This Row],[Ширина]]-3</f>
        <v>597</v>
      </c>
      <c r="T166" s="76"/>
      <c r="U166" s="76"/>
      <c r="V166" s="76"/>
      <c r="W166" s="76"/>
      <c r="X166" s="76"/>
    </row>
    <row r="167" spans="1:24" ht="154.15" customHeight="1">
      <c r="B167" s="94"/>
      <c r="C167" s="78"/>
      <c r="D167" s="79" t="s">
        <v>134</v>
      </c>
      <c r="E167" s="80">
        <v>2040</v>
      </c>
      <c r="F167" s="80">
        <v>600</v>
      </c>
      <c r="G167" s="80">
        <v>560</v>
      </c>
      <c r="H167" s="80">
        <v>0</v>
      </c>
      <c r="I167" s="81">
        <f>((E167*2+F167*(ТаблицаКорпус[[#This Row],[Кол-во полок]]+2))*G167+F167*(3000+1200))/1000000*$O$1</f>
        <v>17525.759999999998</v>
      </c>
      <c r="J167" s="82">
        <v>0</v>
      </c>
      <c r="K167" s="83">
        <f t="shared" si="32"/>
        <v>0</v>
      </c>
      <c r="L167" s="84"/>
      <c r="M167" s="85" t="s">
        <v>309</v>
      </c>
      <c r="N167" s="86"/>
      <c r="O167" s="76">
        <v>1</v>
      </c>
      <c r="P167" s="76">
        <f>ТаблицаКорпус[[#This Row],[Высота]]-3</f>
        <v>2037</v>
      </c>
      <c r="Q167" s="76">
        <f>ТаблицаКорпус[[#This Row],[Ширина]]-3</f>
        <v>597</v>
      </c>
      <c r="R167" s="76"/>
      <c r="S167" s="76"/>
      <c r="T167" s="76"/>
      <c r="U167" s="76"/>
      <c r="V167" s="76"/>
      <c r="W167" s="76"/>
      <c r="X167" s="76"/>
    </row>
    <row r="168" spans="1:24" ht="154.15" customHeight="1">
      <c r="B168" s="94"/>
      <c r="C168" s="78"/>
      <c r="D168" s="79" t="s">
        <v>135</v>
      </c>
      <c r="E168" s="80">
        <v>2400</v>
      </c>
      <c r="F168" s="80">
        <v>300</v>
      </c>
      <c r="G168" s="80">
        <v>560</v>
      </c>
      <c r="H168" s="80">
        <v>1</v>
      </c>
      <c r="I168" s="81">
        <f>((E168*2+F168*(ТаблицаКорпус[[#This Row],[Кол-во полок]]+2))*G168)/1000000*$O$1</f>
        <v>10214.400000000001</v>
      </c>
      <c r="J168" s="82">
        <v>0</v>
      </c>
      <c r="K168" s="83">
        <f t="shared" si="32"/>
        <v>0</v>
      </c>
      <c r="L168" s="84"/>
      <c r="M168" s="85" t="s">
        <v>310</v>
      </c>
      <c r="N168" s="86"/>
      <c r="O168" s="76">
        <v>1</v>
      </c>
      <c r="P168" s="76">
        <f>ТаблицаКорпус[[#This Row],[Высота]]-3</f>
        <v>2397</v>
      </c>
      <c r="Q168" s="76">
        <f>ТаблицаКорпус[[#This Row],[Ширина]]-3</f>
        <v>297</v>
      </c>
      <c r="R168" s="76"/>
      <c r="S168" s="76"/>
      <c r="T168" s="76"/>
      <c r="U168" s="76"/>
      <c r="V168" s="76"/>
      <c r="W168" s="76"/>
      <c r="X168" s="76"/>
    </row>
    <row r="169" spans="1:24" ht="154.15" customHeight="1">
      <c r="B169" s="94"/>
      <c r="C169" s="78"/>
      <c r="D169" s="79" t="s">
        <v>136</v>
      </c>
      <c r="E169" s="80">
        <v>2400</v>
      </c>
      <c r="F169" s="80">
        <v>300</v>
      </c>
      <c r="G169" s="80">
        <v>560</v>
      </c>
      <c r="H169" s="80">
        <v>0</v>
      </c>
      <c r="I169" s="81">
        <f>((E169*2+F169*(ТаблицаКорпус[[#This Row],[Кол-во полок]]+2))*G169)/1000000*$O$1</f>
        <v>9676.7999999999993</v>
      </c>
      <c r="J169" s="82">
        <v>0</v>
      </c>
      <c r="K169" s="83">
        <f t="shared" si="32"/>
        <v>0</v>
      </c>
      <c r="L169" s="84"/>
      <c r="M169" s="85" t="s">
        <v>311</v>
      </c>
      <c r="N169" s="86"/>
      <c r="O169" s="76">
        <v>1</v>
      </c>
      <c r="P169" s="76">
        <f>ТаблицаКорпус[[#This Row],[Высота]]-3</f>
        <v>2397</v>
      </c>
      <c r="Q169" s="76">
        <f>ТаблицаКорпус[[#This Row],[Ширина]]-3</f>
        <v>297</v>
      </c>
      <c r="R169" s="76"/>
      <c r="S169" s="76"/>
      <c r="T169" s="76"/>
      <c r="U169" s="76"/>
      <c r="V169" s="76"/>
      <c r="W169" s="76"/>
      <c r="X169" s="76"/>
    </row>
    <row r="170" spans="1:24" ht="154.15" customHeight="1">
      <c r="B170" s="94"/>
      <c r="C170" s="78"/>
      <c r="D170" s="79" t="s">
        <v>137</v>
      </c>
      <c r="E170" s="80">
        <v>2400</v>
      </c>
      <c r="F170" s="80">
        <v>600</v>
      </c>
      <c r="G170" s="80">
        <v>560</v>
      </c>
      <c r="H170" s="80">
        <v>0</v>
      </c>
      <c r="I170" s="81">
        <f>((E170*2+F170*(ТаблицаКорпус[[#This Row],[Кол-во полок]]+3))*G170)/1000000*$O$1</f>
        <v>11827.2</v>
      </c>
      <c r="J170" s="82">
        <v>0</v>
      </c>
      <c r="K170" s="83">
        <f t="shared" si="32"/>
        <v>0</v>
      </c>
      <c r="L170" s="84"/>
      <c r="M170" s="85" t="s">
        <v>312</v>
      </c>
      <c r="N170" s="86"/>
      <c r="O170" s="76">
        <v>3</v>
      </c>
      <c r="P170" s="76">
        <f>ТаблицаКорпус[[#This Row],[Высота]]-ТаблицаКорпус[[#This Row],[Фасад 2 Высота]]-ТаблицаКорпус[[#This Row],[Фасад 3 Высота]]-3-3-3</f>
        <v>570</v>
      </c>
      <c r="Q170" s="76">
        <f>ТаблицаКорпус[[#This Row],[Ширина]]-3</f>
        <v>597</v>
      </c>
      <c r="R170" s="76">
        <f>1827-720-3</f>
        <v>1104</v>
      </c>
      <c r="S170" s="76">
        <f>ТаблицаКорпус[[#This Row],[Ширина]]-3</f>
        <v>597</v>
      </c>
      <c r="T170" s="76">
        <f>720-3</f>
        <v>717</v>
      </c>
      <c r="U170" s="76">
        <f>ТаблицаКорпус[[#This Row],[Ширина]]-3</f>
        <v>597</v>
      </c>
      <c r="V170" s="76"/>
      <c r="W170" s="76"/>
      <c r="X170" s="76"/>
    </row>
    <row r="171" spans="1:24" ht="154.15" customHeight="1">
      <c r="B171" s="94"/>
      <c r="C171" s="78"/>
      <c r="D171" s="79" t="s">
        <v>138</v>
      </c>
      <c r="E171" s="80">
        <v>2400</v>
      </c>
      <c r="F171" s="80">
        <v>600</v>
      </c>
      <c r="G171" s="80">
        <v>560</v>
      </c>
      <c r="H171" s="80">
        <v>0</v>
      </c>
      <c r="I171" s="81">
        <f>((E171*2+F171*(ТаблицаКорпус[[#This Row],[Кол-во полок]]+3))*G171)/1000000*$O$1</f>
        <v>11827.2</v>
      </c>
      <c r="J171" s="82">
        <v>0</v>
      </c>
      <c r="K171" s="83">
        <f t="shared" si="32"/>
        <v>0</v>
      </c>
      <c r="L171" s="84"/>
      <c r="M171" s="85" t="s">
        <v>313</v>
      </c>
      <c r="N171" s="86"/>
      <c r="O171" s="76">
        <v>3</v>
      </c>
      <c r="P171" s="76">
        <f>ТаблицаКорпус[[#This Row],[Высота]]-ТаблицаКорпус[[#This Row],[Фасад 2 Высота]]-ТаблицаКорпус[[#This Row],[Фасад 3 Высота]]-3-3-3</f>
        <v>570</v>
      </c>
      <c r="Q171" s="76">
        <f>ТаблицаКорпус[[#This Row],[Ширина]]-3</f>
        <v>597</v>
      </c>
      <c r="R171" s="76">
        <f>1827-720-3</f>
        <v>1104</v>
      </c>
      <c r="S171" s="76">
        <f>ТаблицаКорпус[[#This Row],[Ширина]]-3</f>
        <v>597</v>
      </c>
      <c r="T171" s="76">
        <f>720-3</f>
        <v>717</v>
      </c>
      <c r="U171" s="76">
        <f>ТаблицаКорпус[[#This Row],[Ширина]]-3</f>
        <v>597</v>
      </c>
      <c r="V171" s="76"/>
      <c r="W171" s="76"/>
      <c r="X171" s="76"/>
    </row>
    <row r="172" spans="1:24" ht="154.15" customHeight="1">
      <c r="B172" s="94"/>
      <c r="C172" s="78"/>
      <c r="D172" s="79" t="s">
        <v>139</v>
      </c>
      <c r="E172" s="80">
        <v>2400</v>
      </c>
      <c r="F172" s="80">
        <v>600</v>
      </c>
      <c r="G172" s="80">
        <v>560</v>
      </c>
      <c r="H172" s="80">
        <v>0</v>
      </c>
      <c r="I172" s="81">
        <f>((E172*2+F172*(ТаблицаКорпус[[#This Row],[Кол-во полок]]+3))*G172)/1000000*$O$1</f>
        <v>11827.2</v>
      </c>
      <c r="J172" s="82">
        <v>0</v>
      </c>
      <c r="K172" s="83">
        <f t="shared" si="32"/>
        <v>0</v>
      </c>
      <c r="L172" s="84"/>
      <c r="M172" s="85" t="s">
        <v>314</v>
      </c>
      <c r="N172" s="86"/>
      <c r="O172" s="76">
        <v>2</v>
      </c>
      <c r="P172" s="76">
        <f>ТаблицаКорпус[[#This Row],[Высота]]-720-3</f>
        <v>1677</v>
      </c>
      <c r="Q172" s="76">
        <f>ТаблицаКорпус[[#This Row],[Ширина]]-3</f>
        <v>597</v>
      </c>
      <c r="R172" s="76">
        <f>ТаблицаКорпус[[#This Row],[Высота]]-ТаблицаКорпус[[#This Row],[Фасад 1 Высота]]-3-3</f>
        <v>717</v>
      </c>
      <c r="S172" s="76">
        <f>ТаблицаКорпус[[#This Row],[Ширина]]-3</f>
        <v>597</v>
      </c>
      <c r="T172" s="76"/>
      <c r="U172" s="76"/>
      <c r="V172" s="76"/>
      <c r="W172" s="76"/>
      <c r="X172" s="76"/>
    </row>
    <row r="173" spans="1:24">
      <c r="A173" s="70" t="s">
        <v>140</v>
      </c>
      <c r="B173" s="88"/>
      <c r="C173" s="72"/>
      <c r="D173" s="72"/>
      <c r="E173" s="89"/>
      <c r="F173" s="89"/>
      <c r="G173" s="89"/>
      <c r="H173" s="90"/>
      <c r="I173" s="74"/>
      <c r="J173" s="89"/>
      <c r="K173" s="75"/>
      <c r="L173" s="91"/>
      <c r="M173" s="91"/>
      <c r="N173" s="92"/>
      <c r="O173" s="76"/>
      <c r="P173" s="76"/>
      <c r="Q173" s="76"/>
      <c r="R173" s="76">
        <f>ТаблицаКорпус[[#This Row],[Фасад 1 Высота]]</f>
        <v>0</v>
      </c>
      <c r="S173" s="76"/>
      <c r="T173" s="76">
        <f>ТаблицаКорпус[[#This Row],[Фасад 1 Высота]]</f>
        <v>0</v>
      </c>
      <c r="U173" s="76"/>
      <c r="V173" s="76">
        <f>ТаблицаКорпус[[#This Row],[Фасад 1 Высота]]</f>
        <v>0</v>
      </c>
      <c r="W173" s="76"/>
      <c r="X173" s="76"/>
    </row>
    <row r="174" spans="1:24" ht="154.15" customHeight="1">
      <c r="B174" s="94"/>
      <c r="C174" s="78"/>
      <c r="D174" s="79" t="s">
        <v>141</v>
      </c>
      <c r="E174" s="80">
        <v>720</v>
      </c>
      <c r="F174" s="80">
        <v>800</v>
      </c>
      <c r="G174" s="80">
        <v>300</v>
      </c>
      <c r="H174" s="80">
        <v>1</v>
      </c>
      <c r="I174" s="81">
        <f>((E174*2+F174*(ТаблицаКорпус[[#This Row],[Кол-во полок]]+2))*G174+E174*300)/1000000*$O$1</f>
        <v>4377.6000000000004</v>
      </c>
      <c r="J174" s="82">
        <v>0</v>
      </c>
      <c r="K174" s="83">
        <f t="shared" ref="K174:K220" si="33">I174*J174</f>
        <v>0</v>
      </c>
      <c r="L174" s="84" t="s">
        <v>153</v>
      </c>
      <c r="M174" s="85" t="s">
        <v>315</v>
      </c>
      <c r="N174" s="86"/>
      <c r="O174" s="76">
        <v>1</v>
      </c>
      <c r="P174" s="76">
        <f>ТаблицаКорпус[[#This Row],[Высота]]-3</f>
        <v>717</v>
      </c>
      <c r="Q174" s="76">
        <f>ТаблицаКорпус[[#This Row],[Ширина]]-ТаблицаКорпус[[#This Row],[Глубина]]-20-3</f>
        <v>477</v>
      </c>
      <c r="R174" s="76"/>
      <c r="S174" s="76"/>
      <c r="T174" s="76"/>
      <c r="U174" s="76"/>
      <c r="V174" s="76"/>
      <c r="W174" s="76"/>
      <c r="X174" s="76"/>
    </row>
    <row r="175" spans="1:24" ht="154.15" customHeight="1">
      <c r="B175" s="94"/>
      <c r="C175" s="78"/>
      <c r="D175" s="79" t="s">
        <v>142</v>
      </c>
      <c r="E175" s="80">
        <v>720</v>
      </c>
      <c r="F175" s="80">
        <v>800</v>
      </c>
      <c r="G175" s="80">
        <v>300</v>
      </c>
      <c r="H175" s="80">
        <v>1</v>
      </c>
      <c r="I175" s="81">
        <f>((E175*2+F175*(ТаблицаКорпус[[#This Row],[Кол-во полок]]+2))*G175+E175*300)/1000000*$O$1</f>
        <v>4377.6000000000004</v>
      </c>
      <c r="J175" s="82">
        <v>0</v>
      </c>
      <c r="K175" s="83">
        <f t="shared" si="33"/>
        <v>0</v>
      </c>
      <c r="L175" s="84" t="s">
        <v>153</v>
      </c>
      <c r="M175" s="85" t="s">
        <v>316</v>
      </c>
      <c r="N175" s="86"/>
      <c r="O175" s="76">
        <v>2</v>
      </c>
      <c r="P175" s="76">
        <f>ТаблицаКорпус[[#This Row],[Высота]]-3</f>
        <v>717</v>
      </c>
      <c r="Q175" s="76">
        <f>ТаблицаКорпус[[#This Row],[Ширина]]-ТаблицаКорпус[[#This Row],[Глубина]]-40-3</f>
        <v>457</v>
      </c>
      <c r="R175" s="76">
        <f>ТаблицаКорпус[[#This Row],[Фасад 1 Высота]]</f>
        <v>717</v>
      </c>
      <c r="S175" s="76">
        <v>70</v>
      </c>
      <c r="T175" s="76"/>
      <c r="U175" s="76"/>
      <c r="V175" s="76"/>
      <c r="W175" s="76"/>
      <c r="X175" s="76"/>
    </row>
    <row r="176" spans="1:24" ht="154.15" customHeight="1">
      <c r="B176" s="94"/>
      <c r="C176" s="78"/>
      <c r="D176" s="79" t="s">
        <v>143</v>
      </c>
      <c r="E176" s="80">
        <v>720</v>
      </c>
      <c r="F176" s="80">
        <v>800</v>
      </c>
      <c r="G176" s="80">
        <v>300</v>
      </c>
      <c r="H176" s="80">
        <v>1</v>
      </c>
      <c r="I176" s="81">
        <f>((E176*2+F176*(ТаблицаКорпус[[#This Row],[Кол-во полок]]+2))*G176+E176*300)/1000000*$O$1</f>
        <v>4377.6000000000004</v>
      </c>
      <c r="J176" s="82">
        <v>0</v>
      </c>
      <c r="K176" s="83">
        <f t="shared" si="33"/>
        <v>0</v>
      </c>
      <c r="L176" s="84" t="s">
        <v>153</v>
      </c>
      <c r="M176" s="85" t="s">
        <v>317</v>
      </c>
      <c r="N176" s="86"/>
      <c r="O176" s="76">
        <v>1</v>
      </c>
      <c r="P176" s="76">
        <f>ТаблицаКорпус[[#This Row],[Высота]]-3</f>
        <v>717</v>
      </c>
      <c r="Q176" s="76">
        <f>ТаблицаКорпус[[#This Row],[Ширина]]-ТаблицаКорпус[[#This Row],[Глубина]]-20-3</f>
        <v>477</v>
      </c>
      <c r="R176" s="76"/>
      <c r="S176" s="76"/>
      <c r="T176" s="76"/>
      <c r="U176" s="76"/>
      <c r="V176" s="76"/>
      <c r="W176" s="76"/>
      <c r="X176" s="76"/>
    </row>
    <row r="177" spans="2:24" ht="154.15" customHeight="1">
      <c r="B177" s="94"/>
      <c r="C177" s="78"/>
      <c r="D177" s="79" t="s">
        <v>144</v>
      </c>
      <c r="E177" s="80">
        <v>720</v>
      </c>
      <c r="F177" s="80">
        <v>800</v>
      </c>
      <c r="G177" s="80">
        <v>300</v>
      </c>
      <c r="H177" s="80">
        <v>1</v>
      </c>
      <c r="I177" s="81">
        <f>((E177*2+F177*(ТаблицаКорпус[[#This Row],[Кол-во полок]]+2))*G177+E177*300)/1000000*$O$1</f>
        <v>4377.6000000000004</v>
      </c>
      <c r="J177" s="82">
        <v>0</v>
      </c>
      <c r="K177" s="83">
        <f t="shared" si="33"/>
        <v>0</v>
      </c>
      <c r="L177" s="84" t="s">
        <v>153</v>
      </c>
      <c r="M177" s="85" t="s">
        <v>318</v>
      </c>
      <c r="N177" s="86"/>
      <c r="O177" s="76">
        <v>3</v>
      </c>
      <c r="P177" s="76">
        <f>ТаблицаКорпус[[#This Row],[Высота]]-3</f>
        <v>717</v>
      </c>
      <c r="Q177" s="76">
        <f>ТаблицаКорпус[[#This Row],[Ширина]]-ТаблицаКорпус[[#This Row],[Глубина]]-40-3</f>
        <v>457</v>
      </c>
      <c r="R177" s="76">
        <f>ТаблицаКорпус[[#This Row],[Фасад 1 Высота]]</f>
        <v>717</v>
      </c>
      <c r="S177" s="76">
        <v>70</v>
      </c>
      <c r="T177" s="76">
        <f>ТаблицаКорпус[[#This Row],[Фасад 1 Высота]]</f>
        <v>717</v>
      </c>
      <c r="U177" s="76">
        <v>20</v>
      </c>
      <c r="V177" s="76"/>
      <c r="W177" s="76"/>
      <c r="X177" s="76"/>
    </row>
    <row r="178" spans="2:24" ht="154.15" customHeight="1">
      <c r="B178" s="94"/>
      <c r="C178" s="78"/>
      <c r="D178" s="79" t="s">
        <v>145</v>
      </c>
      <c r="E178" s="80">
        <v>720</v>
      </c>
      <c r="F178" s="80">
        <v>640</v>
      </c>
      <c r="G178" s="80">
        <v>300</v>
      </c>
      <c r="H178" s="80">
        <v>1</v>
      </c>
      <c r="I178" s="81">
        <f>((E178*2+F178*(ТаблицаКорпус[[#This Row],[Кол-во полок]]+2))*G178)/1000000*$O$1</f>
        <v>3225.6</v>
      </c>
      <c r="J178" s="82">
        <v>0</v>
      </c>
      <c r="K178" s="83">
        <f t="shared" si="33"/>
        <v>0</v>
      </c>
      <c r="L178" s="84"/>
      <c r="M178" s="85" t="s">
        <v>319</v>
      </c>
      <c r="N178" s="86"/>
      <c r="O178" s="76">
        <v>2</v>
      </c>
      <c r="P178" s="76">
        <f>ТаблицаКорпус[[#This Row],[Высота]]/2-3</f>
        <v>357</v>
      </c>
      <c r="Q178" s="76">
        <f>ТаблицаКорпус[[#This Row],[Ширина]]-40-3</f>
        <v>597</v>
      </c>
      <c r="R178" s="76">
        <f>ТаблицаКорпус[[#This Row],[Фасад 1 Высота]]</f>
        <v>357</v>
      </c>
      <c r="S178" s="76">
        <f>ТаблицаКорпус[[#This Row],[Ширина]]-40-3</f>
        <v>597</v>
      </c>
      <c r="T178" s="76"/>
      <c r="U178" s="76"/>
      <c r="V178" s="76"/>
      <c r="W178" s="76"/>
      <c r="X178" s="76"/>
    </row>
    <row r="179" spans="2:24" ht="154.15" customHeight="1">
      <c r="B179" s="94"/>
      <c r="C179" s="78"/>
      <c r="D179" s="79" t="s">
        <v>146</v>
      </c>
      <c r="E179" s="80">
        <v>720</v>
      </c>
      <c r="F179" s="80">
        <v>640</v>
      </c>
      <c r="G179" s="80">
        <v>300</v>
      </c>
      <c r="H179" s="80">
        <v>1</v>
      </c>
      <c r="I179" s="81">
        <f>((E179*2+F179*(ТаблицаКорпус[[#This Row],[Кол-во полок]]+2))*G179)/1000000*$O$1</f>
        <v>3225.6</v>
      </c>
      <c r="J179" s="82">
        <v>0</v>
      </c>
      <c r="K179" s="83">
        <f t="shared" si="33"/>
        <v>0</v>
      </c>
      <c r="L179" s="84"/>
      <c r="M179" s="85" t="s">
        <v>320</v>
      </c>
      <c r="N179" s="86"/>
      <c r="O179" s="76">
        <v>2</v>
      </c>
      <c r="P179" s="76">
        <f>ТаблицаКорпус[[#This Row],[Высота]]/2-3</f>
        <v>357</v>
      </c>
      <c r="Q179" s="76">
        <f>ТаблицаКорпус[[#This Row],[Ширина]]-40-3</f>
        <v>597</v>
      </c>
      <c r="R179" s="76">
        <f>ТаблицаКорпус[[#This Row],[Фасад 1 Высота]]</f>
        <v>357</v>
      </c>
      <c r="S179" s="76">
        <f>ТаблицаКорпус[[#This Row],[Ширина]]-40-3</f>
        <v>597</v>
      </c>
      <c r="T179" s="76"/>
      <c r="U179" s="76"/>
      <c r="V179" s="76"/>
      <c r="W179" s="76"/>
      <c r="X179" s="76"/>
    </row>
    <row r="180" spans="2:24" ht="154.15" customHeight="1">
      <c r="B180" s="94"/>
      <c r="C180" s="78"/>
      <c r="D180" s="79" t="s">
        <v>147</v>
      </c>
      <c r="E180" s="80">
        <v>720</v>
      </c>
      <c r="F180" s="80">
        <v>600</v>
      </c>
      <c r="G180" s="80">
        <v>600</v>
      </c>
      <c r="H180" s="80">
        <v>1</v>
      </c>
      <c r="I180" s="81">
        <f>(E180*300*2+F180*G180*(ТаблицаКорпус[[#This Row],[Кол-во полок]]+2)+E180*100)/1000000*$O$1</f>
        <v>5068.8</v>
      </c>
      <c r="J180" s="82">
        <v>0</v>
      </c>
      <c r="K180" s="83">
        <f t="shared" si="33"/>
        <v>0</v>
      </c>
      <c r="L180" s="84"/>
      <c r="M180" s="85" t="s">
        <v>321</v>
      </c>
      <c r="N180" s="86"/>
      <c r="O180" s="76">
        <v>1</v>
      </c>
      <c r="P180" s="76">
        <f>ТаблицаКорпус[[#This Row],[Высота]]-3</f>
        <v>717</v>
      </c>
      <c r="Q180" s="76">
        <v>397</v>
      </c>
      <c r="R180" s="76"/>
      <c r="S180" s="76"/>
      <c r="T180" s="76"/>
      <c r="U180" s="76"/>
      <c r="V180" s="76"/>
      <c r="W180" s="76"/>
      <c r="X180" s="76"/>
    </row>
    <row r="181" spans="2:24" ht="154.15" customHeight="1">
      <c r="B181" s="94"/>
      <c r="C181" s="78"/>
      <c r="D181" s="79" t="s">
        <v>148</v>
      </c>
      <c r="E181" s="80">
        <v>720</v>
      </c>
      <c r="F181" s="80">
        <v>600</v>
      </c>
      <c r="G181" s="80">
        <v>600</v>
      </c>
      <c r="H181" s="80">
        <v>1</v>
      </c>
      <c r="I181" s="81">
        <f>(E181*300*2+F181*G181*(ТаблицаКорпус[[#This Row],[Кол-во полок]]+2)+E181*100)/1000000*$O$1</f>
        <v>5068.8</v>
      </c>
      <c r="J181" s="82">
        <v>0</v>
      </c>
      <c r="K181" s="83">
        <f t="shared" si="33"/>
        <v>0</v>
      </c>
      <c r="L181" s="84"/>
      <c r="M181" s="85" t="s">
        <v>322</v>
      </c>
      <c r="N181" s="86"/>
      <c r="O181" s="76">
        <v>1</v>
      </c>
      <c r="P181" s="76">
        <f>ТаблицаКорпус[[#This Row],[Высота]]-3</f>
        <v>717</v>
      </c>
      <c r="Q181" s="76">
        <v>397</v>
      </c>
      <c r="R181" s="76"/>
      <c r="S181" s="76"/>
      <c r="T181" s="76"/>
      <c r="U181" s="76"/>
      <c r="V181" s="76"/>
      <c r="W181" s="76"/>
      <c r="X181" s="76"/>
    </row>
    <row r="182" spans="2:24" ht="153.75" customHeight="1">
      <c r="B182" s="94"/>
      <c r="C182" s="78"/>
      <c r="D182" s="79" t="s">
        <v>149</v>
      </c>
      <c r="E182" s="80">
        <v>720</v>
      </c>
      <c r="F182" s="80">
        <v>600</v>
      </c>
      <c r="G182" s="80">
        <v>600</v>
      </c>
      <c r="H182" s="80">
        <v>1</v>
      </c>
      <c r="I182" s="81">
        <f>(E182*300*2+F182*G182*(ТаблицаКорпус[[#This Row],[Кол-во полок]]+2)+E182*100)/1000000*$O$1</f>
        <v>5068.8</v>
      </c>
      <c r="J182" s="82">
        <v>0</v>
      </c>
      <c r="K182" s="83">
        <f t="shared" si="33"/>
        <v>0</v>
      </c>
      <c r="L182" s="84"/>
      <c r="M182" s="85" t="s">
        <v>323</v>
      </c>
      <c r="N182" s="86"/>
      <c r="O182" s="76">
        <v>2</v>
      </c>
      <c r="P182" s="76">
        <f>ТаблицаКорпус[[#This Row],[Высота]]-3</f>
        <v>717</v>
      </c>
      <c r="Q182" s="76">
        <v>257</v>
      </c>
      <c r="R182" s="76">
        <f>ТаблицаКорпус[[#This Row],[Фасад 1 Высота]]</f>
        <v>717</v>
      </c>
      <c r="S182" s="76">
        <v>257</v>
      </c>
      <c r="T182" s="76"/>
      <c r="U182" s="76"/>
      <c r="V182" s="76"/>
      <c r="W182" s="76"/>
      <c r="X182" s="76"/>
    </row>
    <row r="183" spans="2:24" ht="154.15" customHeight="1">
      <c r="B183" s="94"/>
      <c r="C183" s="78"/>
      <c r="D183" s="79" t="s">
        <v>150</v>
      </c>
      <c r="E183" s="80">
        <v>720</v>
      </c>
      <c r="F183" s="80">
        <v>600</v>
      </c>
      <c r="G183" s="80">
        <v>600</v>
      </c>
      <c r="H183" s="80">
        <v>1</v>
      </c>
      <c r="I183" s="81">
        <f>(E183*300*2+F183*G183*(ТаблицаКорпус[[#This Row],[Кол-во полок]]+2)+E183*100)/1000000*$O$1</f>
        <v>5068.8</v>
      </c>
      <c r="J183" s="82">
        <v>0</v>
      </c>
      <c r="K183" s="83">
        <f t="shared" si="33"/>
        <v>0</v>
      </c>
      <c r="L183" s="84" t="s">
        <v>367</v>
      </c>
      <c r="M183" s="85" t="s">
        <v>324</v>
      </c>
      <c r="N183" s="86"/>
      <c r="O183" s="76">
        <v>1</v>
      </c>
      <c r="P183" s="76">
        <f>ТаблицаКорпус[[#This Row],[Высота]]-3</f>
        <v>717</v>
      </c>
      <c r="Q183" s="76"/>
      <c r="R183" s="76"/>
      <c r="S183" s="76"/>
      <c r="T183" s="76"/>
      <c r="U183" s="76"/>
      <c r="V183" s="76"/>
      <c r="W183" s="76"/>
      <c r="X183" s="76">
        <f>ТаблицаКорпус[[#This Row],[Фасад 1 Высота]]</f>
        <v>717</v>
      </c>
    </row>
    <row r="184" spans="2:24" ht="154.15" customHeight="1">
      <c r="B184" s="94"/>
      <c r="C184" s="78"/>
      <c r="D184" s="79" t="s">
        <v>151</v>
      </c>
      <c r="E184" s="80">
        <v>720</v>
      </c>
      <c r="F184" s="80">
        <v>600</v>
      </c>
      <c r="G184" s="80">
        <v>600</v>
      </c>
      <c r="H184" s="80">
        <v>1</v>
      </c>
      <c r="I184" s="81">
        <f>(E184*300*2+F184*G184*(ТаблицаКорпус[[#This Row],[Кол-во полок]]+2)+E184*100)/1000000*$O$1</f>
        <v>5068.8</v>
      </c>
      <c r="J184" s="82">
        <v>0</v>
      </c>
      <c r="K184" s="83">
        <f t="shared" si="33"/>
        <v>0</v>
      </c>
      <c r="L184" s="84" t="s">
        <v>367</v>
      </c>
      <c r="M184" s="85" t="s">
        <v>325</v>
      </c>
      <c r="N184" s="86"/>
      <c r="O184" s="76">
        <v>1</v>
      </c>
      <c r="P184" s="76">
        <f>ТаблицаКорпус[[#This Row],[Высота]]-3</f>
        <v>717</v>
      </c>
      <c r="Q184" s="76"/>
      <c r="R184" s="76"/>
      <c r="S184" s="76"/>
      <c r="T184" s="76"/>
      <c r="U184" s="76"/>
      <c r="V184" s="76"/>
      <c r="W184" s="76"/>
      <c r="X184" s="76">
        <f>ТаблицаКорпус[[#This Row],[Фасад 1 Высота]]</f>
        <v>717</v>
      </c>
    </row>
    <row r="185" spans="2:24" ht="154.15" customHeight="1">
      <c r="B185" s="94"/>
      <c r="C185" s="78"/>
      <c r="D185" s="79" t="s">
        <v>152</v>
      </c>
      <c r="E185" s="80">
        <v>915</v>
      </c>
      <c r="F185" s="80">
        <v>150</v>
      </c>
      <c r="G185" s="80">
        <v>300</v>
      </c>
      <c r="H185" s="80">
        <v>1</v>
      </c>
      <c r="I185" s="81">
        <f>((E185*2+F185*(ТаблицаКорпус[[#This Row],[Кол-во полок]]+2))*G185)/1000000*$O$1</f>
        <v>2188.8000000000002</v>
      </c>
      <c r="J185" s="82">
        <v>0</v>
      </c>
      <c r="K185" s="83">
        <f t="shared" ref="K185" si="34">I185*J185</f>
        <v>0</v>
      </c>
      <c r="L185" s="84"/>
      <c r="M185" s="85" t="s">
        <v>326</v>
      </c>
      <c r="N185" s="86"/>
      <c r="O185" s="76">
        <v>0</v>
      </c>
      <c r="P185" s="76">
        <v>0</v>
      </c>
      <c r="Q185" s="76"/>
      <c r="R185" s="76">
        <f>ТаблицаКорпус[[#This Row],[Фасад 1 Высота]]</f>
        <v>0</v>
      </c>
      <c r="S185" s="76"/>
      <c r="T185" s="76">
        <f>ТаблицаКорпус[[#This Row],[Фасад 1 Высота]]</f>
        <v>0</v>
      </c>
      <c r="U185" s="76"/>
      <c r="V185" s="76">
        <f>ТаблицаКорпус[[#This Row],[Фасад 1 Высота]]</f>
        <v>0</v>
      </c>
      <c r="W185" s="76"/>
      <c r="X185" s="76"/>
    </row>
    <row r="186" spans="2:24" ht="154.15" customHeight="1">
      <c r="B186" s="94"/>
      <c r="C186" s="78"/>
      <c r="D186" s="79" t="s">
        <v>152</v>
      </c>
      <c r="E186" s="80">
        <v>915</v>
      </c>
      <c r="F186" s="80">
        <v>150</v>
      </c>
      <c r="G186" s="80">
        <v>300</v>
      </c>
      <c r="H186" s="80">
        <v>1</v>
      </c>
      <c r="I186" s="81">
        <f>((E186*2+F186*(ТаблицаКорпус[[#This Row],[Кол-во полок]]+2))*G186)/1000000*$O$1</f>
        <v>2188.8000000000002</v>
      </c>
      <c r="J186" s="82">
        <v>0</v>
      </c>
      <c r="K186" s="83">
        <f t="shared" si="33"/>
        <v>0</v>
      </c>
      <c r="L186" s="84"/>
      <c r="M186" s="85" t="s">
        <v>326</v>
      </c>
      <c r="N186" s="86"/>
      <c r="O186" s="76">
        <v>0</v>
      </c>
      <c r="P186" s="76">
        <v>0</v>
      </c>
      <c r="Q186" s="76"/>
      <c r="R186" s="76">
        <f>ТаблицаКорпус[[#This Row],[Фасад 1 Высота]]</f>
        <v>0</v>
      </c>
      <c r="S186" s="76"/>
      <c r="T186" s="76">
        <f>ТаблицаКорпус[[#This Row],[Фасад 1 Высота]]</f>
        <v>0</v>
      </c>
      <c r="U186" s="76"/>
      <c r="V186" s="76">
        <f>ТаблицаКорпус[[#This Row],[Фасад 1 Высота]]</f>
        <v>0</v>
      </c>
      <c r="W186" s="76"/>
      <c r="X186" s="76"/>
    </row>
    <row r="187" spans="2:24" ht="154.15" customHeight="1">
      <c r="B187" s="94"/>
      <c r="C187" s="78"/>
      <c r="D187" s="79" t="s">
        <v>154</v>
      </c>
      <c r="E187" s="80">
        <v>720</v>
      </c>
      <c r="F187" s="80">
        <v>600</v>
      </c>
      <c r="G187" s="80">
        <v>300</v>
      </c>
      <c r="H187" s="80">
        <v>1</v>
      </c>
      <c r="I187" s="81">
        <f>((E187*2+F187*(ТаблицаКорпус[[#This Row],[Кол-во полок]]+2))*G187)/1000000*$O$1</f>
        <v>3110.4</v>
      </c>
      <c r="J187" s="82">
        <v>0</v>
      </c>
      <c r="K187" s="83">
        <f t="shared" si="33"/>
        <v>0</v>
      </c>
      <c r="L187" s="84"/>
      <c r="M187" s="85" t="s">
        <v>327</v>
      </c>
      <c r="N187" s="86"/>
      <c r="O187" s="76">
        <v>1</v>
      </c>
      <c r="P187" s="76">
        <f>ТаблицаКорпус[[#This Row],[Высота]]-3</f>
        <v>717</v>
      </c>
      <c r="Q187" s="76">
        <f>ТаблицаКорпус[[#This Row],[Ширина]]-40-3</f>
        <v>557</v>
      </c>
      <c r="R187" s="76"/>
      <c r="S187" s="76"/>
      <c r="T187" s="76"/>
      <c r="U187" s="76"/>
      <c r="V187" s="76"/>
      <c r="W187" s="76"/>
      <c r="X187" s="76"/>
    </row>
    <row r="188" spans="2:24" ht="154.15" customHeight="1">
      <c r="B188" s="94"/>
      <c r="C188" s="78"/>
      <c r="D188" s="79" t="s">
        <v>155</v>
      </c>
      <c r="E188" s="80">
        <v>720</v>
      </c>
      <c r="F188" s="80">
        <v>600</v>
      </c>
      <c r="G188" s="80">
        <v>300</v>
      </c>
      <c r="H188" s="80">
        <v>1</v>
      </c>
      <c r="I188" s="81">
        <f>((E188*2+F188*(ТаблицаКорпус[[#This Row],[Кол-во полок]]+2))*G188)/1000000*$O$1</f>
        <v>3110.4</v>
      </c>
      <c r="J188" s="82">
        <v>0</v>
      </c>
      <c r="K188" s="83">
        <f t="shared" si="33"/>
        <v>0</v>
      </c>
      <c r="L188" s="84"/>
      <c r="M188" s="85" t="s">
        <v>328</v>
      </c>
      <c r="N188" s="86"/>
      <c r="O188" s="76">
        <v>1</v>
      </c>
      <c r="P188" s="76">
        <f>ТаблицаКорпус[[#This Row],[Высота]]-3</f>
        <v>717</v>
      </c>
      <c r="Q188" s="76">
        <f>ТаблицаКорпус[[#This Row],[Ширина]]-40-3</f>
        <v>557</v>
      </c>
      <c r="R188" s="76"/>
      <c r="S188" s="76"/>
      <c r="T188" s="76"/>
      <c r="U188" s="76"/>
      <c r="V188" s="76"/>
      <c r="W188" s="76"/>
      <c r="X188" s="76"/>
    </row>
    <row r="189" spans="2:24" ht="154.15" customHeight="1">
      <c r="B189" s="94"/>
      <c r="C189" s="78"/>
      <c r="D189" s="79" t="s">
        <v>158</v>
      </c>
      <c r="E189" s="80">
        <v>720</v>
      </c>
      <c r="F189" s="80">
        <v>900</v>
      </c>
      <c r="G189" s="80">
        <v>300</v>
      </c>
      <c r="H189" s="80">
        <v>1</v>
      </c>
      <c r="I189" s="81">
        <f>((E189*3+F189*(ТаблицаКорпус[[#This Row],[Кол-во полок]]+1))*G189+(F189-600)*G189)/1000000*$O$1</f>
        <v>4089.6</v>
      </c>
      <c r="J189" s="82">
        <v>0</v>
      </c>
      <c r="K189" s="83">
        <f t="shared" si="33"/>
        <v>0</v>
      </c>
      <c r="L189" s="84"/>
      <c r="M189" s="85" t="s">
        <v>329</v>
      </c>
      <c r="N189" s="86"/>
      <c r="O189" s="76">
        <v>2</v>
      </c>
      <c r="P189" s="76">
        <f>ТаблицаКорпус[[#This Row],[Высота]]/2-3</f>
        <v>357</v>
      </c>
      <c r="Q189" s="76">
        <f>ТаблицаКорпус[[#This Row],[Ширина]]-3</f>
        <v>897</v>
      </c>
      <c r="R189" s="76">
        <f>ТаблицаКорпус[[#This Row],[Фасад 1 Высота]]</f>
        <v>357</v>
      </c>
      <c r="S189" s="76">
        <f>ТаблицаКорпус[[#This Row],[Ширина]]-3</f>
        <v>897</v>
      </c>
      <c r="T189" s="76"/>
      <c r="U189" s="76"/>
      <c r="V189" s="76"/>
      <c r="W189" s="76"/>
      <c r="X189" s="76"/>
    </row>
    <row r="190" spans="2:24" ht="154.15" customHeight="1">
      <c r="B190" s="94"/>
      <c r="C190" s="78"/>
      <c r="D190" s="79" t="s">
        <v>159</v>
      </c>
      <c r="E190" s="80">
        <v>720</v>
      </c>
      <c r="F190" s="80">
        <v>900</v>
      </c>
      <c r="G190" s="80">
        <v>300</v>
      </c>
      <c r="H190" s="80">
        <v>1</v>
      </c>
      <c r="I190" s="81">
        <f>((E190*3+F190*(ТаблицаКорпус[[#This Row],[Кол-во полок]]+1))*G190+(F190-600)*G190)/1000000*$O$1</f>
        <v>4089.6</v>
      </c>
      <c r="J190" s="82">
        <v>0</v>
      </c>
      <c r="K190" s="83">
        <f t="shared" si="33"/>
        <v>0</v>
      </c>
      <c r="L190" s="84"/>
      <c r="M190" s="85" t="s">
        <v>330</v>
      </c>
      <c r="N190" s="86"/>
      <c r="O190" s="76">
        <v>2</v>
      </c>
      <c r="P190" s="76">
        <f>ТаблицаКорпус[[#This Row],[Высота]]/2-3</f>
        <v>357</v>
      </c>
      <c r="Q190" s="76">
        <f>ТаблицаКорпус[[#This Row],[Ширина]]-3</f>
        <v>897</v>
      </c>
      <c r="R190" s="76">
        <f>ТаблицаКорпус[[#This Row],[Фасад 1 Высота]]</f>
        <v>357</v>
      </c>
      <c r="S190" s="76">
        <f>ТаблицаКорпус[[#This Row],[Ширина]]-3</f>
        <v>897</v>
      </c>
      <c r="T190" s="76"/>
      <c r="U190" s="76"/>
      <c r="V190" s="76"/>
      <c r="W190" s="76"/>
      <c r="X190" s="76"/>
    </row>
    <row r="191" spans="2:24" ht="154.15" customHeight="1">
      <c r="B191" s="94"/>
      <c r="C191" s="78"/>
      <c r="D191" s="79" t="s">
        <v>160</v>
      </c>
      <c r="E191" s="80">
        <v>720</v>
      </c>
      <c r="F191" s="80">
        <v>600</v>
      </c>
      <c r="G191" s="80">
        <v>300</v>
      </c>
      <c r="H191" s="80">
        <v>0</v>
      </c>
      <c r="I191" s="81">
        <f>((E191*2+F191*(ТаблицаКорпус[[#This Row],[Кол-во полок]]+2))*G191)/1000000*$O$1</f>
        <v>2534.4</v>
      </c>
      <c r="J191" s="82">
        <v>0</v>
      </c>
      <c r="K191" s="83">
        <f t="shared" si="33"/>
        <v>0</v>
      </c>
      <c r="L191" s="84"/>
      <c r="M191" s="85" t="s">
        <v>331</v>
      </c>
      <c r="N191" s="86"/>
      <c r="O191" s="76">
        <v>2</v>
      </c>
      <c r="P191" s="76">
        <f>ТаблицаКорпус[[#This Row],[Высота]]/2-3</f>
        <v>357</v>
      </c>
      <c r="Q191" s="76">
        <f>ТаблицаКорпус[[#This Row],[Ширина]]-3</f>
        <v>597</v>
      </c>
      <c r="R191" s="76">
        <f>ТаблицаКорпус[[#This Row],[Фасад 1 Высота]]</f>
        <v>357</v>
      </c>
      <c r="S191" s="76">
        <f>ТаблицаКорпус[[#This Row],[Ширина]]-3</f>
        <v>597</v>
      </c>
      <c r="T191" s="76"/>
      <c r="U191" s="76"/>
      <c r="V191" s="76"/>
      <c r="W191" s="76"/>
      <c r="X191" s="76"/>
    </row>
    <row r="192" spans="2:24" ht="154.15" customHeight="1">
      <c r="B192" s="94"/>
      <c r="C192" s="78"/>
      <c r="D192" s="79" t="s">
        <v>161</v>
      </c>
      <c r="E192" s="80">
        <v>720</v>
      </c>
      <c r="F192" s="80">
        <v>600</v>
      </c>
      <c r="G192" s="80">
        <v>300</v>
      </c>
      <c r="H192" s="80">
        <v>1</v>
      </c>
      <c r="I192" s="81">
        <f>((E192*2+F192*(ТаблицаКорпус[[#This Row],[Кол-во полок]]+2))*G192)/1000000*$O$1</f>
        <v>3110.4</v>
      </c>
      <c r="J192" s="82">
        <v>0</v>
      </c>
      <c r="K192" s="83">
        <f t="shared" ref="K192" si="35">I192*J192</f>
        <v>0</v>
      </c>
      <c r="L192" s="84"/>
      <c r="M192" s="85" t="s">
        <v>332</v>
      </c>
      <c r="N192" s="86"/>
      <c r="O192" s="76">
        <v>2</v>
      </c>
      <c r="P192" s="76">
        <f>ТаблицаКорпус[[#This Row],[Высота]]/2-3</f>
        <v>357</v>
      </c>
      <c r="Q192" s="76">
        <f>ТаблицаКорпус[[#This Row],[Ширина]]-3</f>
        <v>597</v>
      </c>
      <c r="R192" s="76">
        <f>ТаблицаКорпус[[#This Row],[Фасад 1 Высота]]</f>
        <v>357</v>
      </c>
      <c r="S192" s="76">
        <f>ТаблицаКорпус[[#This Row],[Ширина]]-3</f>
        <v>597</v>
      </c>
      <c r="T192" s="76"/>
      <c r="U192" s="76"/>
      <c r="V192" s="76"/>
      <c r="W192" s="76"/>
      <c r="X192" s="76"/>
    </row>
    <row r="193" spans="2:24" ht="154.15" customHeight="1">
      <c r="B193" s="94"/>
      <c r="C193" s="78"/>
      <c r="D193" s="79" t="s">
        <v>161</v>
      </c>
      <c r="E193" s="80">
        <v>720</v>
      </c>
      <c r="F193" s="80">
        <v>600</v>
      </c>
      <c r="G193" s="80">
        <v>300</v>
      </c>
      <c r="H193" s="80">
        <v>1</v>
      </c>
      <c r="I193" s="81">
        <f>((E193*2+F193*(ТаблицаКорпус[[#This Row],[Кол-во полок]]+2))*G193)/1000000*$O$1</f>
        <v>3110.4</v>
      </c>
      <c r="J193" s="82">
        <v>0</v>
      </c>
      <c r="K193" s="83">
        <f t="shared" ref="K193" si="36">I193*J193</f>
        <v>0</v>
      </c>
      <c r="L193" s="84"/>
      <c r="M193" s="85" t="s">
        <v>332</v>
      </c>
      <c r="N193" s="86"/>
      <c r="O193" s="76">
        <v>2</v>
      </c>
      <c r="P193" s="76">
        <f>ТаблицаКорпус[[#This Row],[Высота]]/2-3</f>
        <v>357</v>
      </c>
      <c r="Q193" s="76">
        <f>ТаблицаКорпус[[#This Row],[Ширина]]-3</f>
        <v>597</v>
      </c>
      <c r="R193" s="76">
        <f>ТаблицаКорпус[[#This Row],[Фасад 1 Высота]]</f>
        <v>357</v>
      </c>
      <c r="S193" s="76">
        <f>ТаблицаКорпус[[#This Row],[Ширина]]-3</f>
        <v>597</v>
      </c>
      <c r="T193" s="76"/>
      <c r="U193" s="76"/>
      <c r="V193" s="76"/>
      <c r="W193" s="76"/>
      <c r="X193" s="76"/>
    </row>
    <row r="194" spans="2:24" ht="154.15" customHeight="1">
      <c r="B194" s="94"/>
      <c r="C194" s="78"/>
      <c r="D194" s="79" t="s">
        <v>161</v>
      </c>
      <c r="E194" s="80">
        <v>720</v>
      </c>
      <c r="F194" s="80">
        <v>600</v>
      </c>
      <c r="G194" s="80">
        <v>300</v>
      </c>
      <c r="H194" s="80">
        <v>1</v>
      </c>
      <c r="I194" s="81">
        <f>((E194*2+F194*(ТаблицаКорпус[[#This Row],[Кол-во полок]]+2))*G194)/1000000*$O$1</f>
        <v>3110.4</v>
      </c>
      <c r="J194" s="82">
        <v>0</v>
      </c>
      <c r="K194" s="83">
        <f t="shared" si="33"/>
        <v>0</v>
      </c>
      <c r="L194" s="84"/>
      <c r="M194" s="85" t="s">
        <v>332</v>
      </c>
      <c r="N194" s="86"/>
      <c r="O194" s="76">
        <v>2</v>
      </c>
      <c r="P194" s="76">
        <f>ТаблицаКорпус[[#This Row],[Высота]]/2-3</f>
        <v>357</v>
      </c>
      <c r="Q194" s="76">
        <f>ТаблицаКорпус[[#This Row],[Ширина]]-3</f>
        <v>597</v>
      </c>
      <c r="R194" s="76">
        <f>ТаблицаКорпус[[#This Row],[Фасад 1 Высота]]</f>
        <v>357</v>
      </c>
      <c r="S194" s="76">
        <f>ТаблицаКорпус[[#This Row],[Ширина]]-3</f>
        <v>597</v>
      </c>
      <c r="T194" s="76"/>
      <c r="U194" s="76"/>
      <c r="V194" s="76"/>
      <c r="W194" s="76"/>
      <c r="X194" s="76"/>
    </row>
    <row r="195" spans="2:24" ht="154.15" customHeight="1">
      <c r="B195" s="94"/>
      <c r="C195" s="78"/>
      <c r="D195" s="79" t="s">
        <v>162</v>
      </c>
      <c r="E195" s="80">
        <v>720</v>
      </c>
      <c r="F195" s="80">
        <v>600</v>
      </c>
      <c r="G195" s="80">
        <v>300</v>
      </c>
      <c r="H195" s="80">
        <v>0</v>
      </c>
      <c r="I195" s="81">
        <f>((E195*2+F195*(ТаблицаКорпус[[#This Row],[Кол-во полок]]+3))*G195)/1000000*$O$1</f>
        <v>3110.4</v>
      </c>
      <c r="J195" s="82">
        <v>0</v>
      </c>
      <c r="K195" s="83">
        <f t="shared" si="33"/>
        <v>0</v>
      </c>
      <c r="L195" s="84"/>
      <c r="M195" s="85" t="s">
        <v>333</v>
      </c>
      <c r="N195" s="86"/>
      <c r="O195" s="76">
        <v>2</v>
      </c>
      <c r="P195" s="76">
        <f>ТаблицаКорпус[[#This Row],[Высота]]/2-3</f>
        <v>357</v>
      </c>
      <c r="Q195" s="76">
        <f>ТаблицаКорпус[[#This Row],[Ширина]]-40-3</f>
        <v>557</v>
      </c>
      <c r="R195" s="76">
        <f>ТаблицаКорпус[[#This Row],[Фасад 1 Высота]]</f>
        <v>357</v>
      </c>
      <c r="S195" s="76">
        <f>ТаблицаКорпус[[#This Row],[Ширина]]-40-3</f>
        <v>557</v>
      </c>
      <c r="T195" s="76"/>
      <c r="U195" s="76"/>
      <c r="V195" s="76"/>
      <c r="W195" s="76"/>
      <c r="X195" s="76"/>
    </row>
    <row r="196" spans="2:24" ht="154.15" customHeight="1">
      <c r="B196" s="94"/>
      <c r="C196" s="78"/>
      <c r="D196" s="79" t="s">
        <v>163</v>
      </c>
      <c r="E196" s="80">
        <v>720</v>
      </c>
      <c r="F196" s="80">
        <v>600</v>
      </c>
      <c r="G196" s="80">
        <v>300</v>
      </c>
      <c r="H196" s="80">
        <v>0</v>
      </c>
      <c r="I196" s="81">
        <f>((E196*2+F196*(ТаблицаКорпус[[#This Row],[Кол-во полок]]+3))*G196)/1000000*$O$1</f>
        <v>3110.4</v>
      </c>
      <c r="J196" s="82">
        <v>0</v>
      </c>
      <c r="K196" s="83">
        <f t="shared" si="33"/>
        <v>0</v>
      </c>
      <c r="L196" s="84"/>
      <c r="M196" s="85" t="s">
        <v>334</v>
      </c>
      <c r="N196" s="86"/>
      <c r="O196" s="76">
        <v>2</v>
      </c>
      <c r="P196" s="76">
        <f>ТаблицаКорпус[[#This Row],[Высота]]/2-3</f>
        <v>357</v>
      </c>
      <c r="Q196" s="76">
        <f>ТаблицаКорпус[[#This Row],[Ширина]]-40-3</f>
        <v>557</v>
      </c>
      <c r="R196" s="76">
        <f>ТаблицаКорпус[[#This Row],[Фасад 1 Высота]]</f>
        <v>357</v>
      </c>
      <c r="S196" s="76">
        <f>ТаблицаКорпус[[#This Row],[Ширина]]-40-3</f>
        <v>557</v>
      </c>
      <c r="T196" s="76"/>
      <c r="U196" s="76"/>
      <c r="V196" s="76"/>
      <c r="W196" s="76"/>
      <c r="X196" s="76"/>
    </row>
    <row r="197" spans="2:24" ht="154.15" customHeight="1">
      <c r="B197" s="94"/>
      <c r="C197" s="78"/>
      <c r="D197" s="79" t="s">
        <v>164</v>
      </c>
      <c r="E197" s="80">
        <v>720</v>
      </c>
      <c r="F197" s="80">
        <v>600</v>
      </c>
      <c r="G197" s="80">
        <v>300</v>
      </c>
      <c r="H197" s="80">
        <v>0</v>
      </c>
      <c r="I197" s="81">
        <f>((E197*2+F197*(ТаблицаКорпус[[#This Row],[Кол-во полок]]+3))*G197)/1000000*$O$1</f>
        <v>3110.4</v>
      </c>
      <c r="J197" s="82">
        <v>0</v>
      </c>
      <c r="K197" s="83">
        <f t="shared" si="33"/>
        <v>0</v>
      </c>
      <c r="L197" s="84"/>
      <c r="M197" s="85" t="s">
        <v>335</v>
      </c>
      <c r="N197" s="86"/>
      <c r="O197" s="76">
        <v>2</v>
      </c>
      <c r="P197" s="76">
        <f>ТаблицаКорпус[[#This Row],[Высота]]/2-3</f>
        <v>357</v>
      </c>
      <c r="Q197" s="76">
        <f>ТаблицаКорпус[[#This Row],[Ширина]]-3</f>
        <v>597</v>
      </c>
      <c r="R197" s="76">
        <f>ТаблицаКорпус[[#This Row],[Фасад 1 Высота]]</f>
        <v>357</v>
      </c>
      <c r="S197" s="76">
        <f>ТаблицаКорпус[[#This Row],[Ширина]]-3</f>
        <v>597</v>
      </c>
      <c r="T197" s="76"/>
      <c r="U197" s="76"/>
      <c r="V197" s="76"/>
      <c r="W197" s="76"/>
      <c r="X197" s="76"/>
    </row>
    <row r="198" spans="2:24" ht="154.15" customHeight="1">
      <c r="B198" s="94"/>
      <c r="C198" s="78"/>
      <c r="D198" s="79" t="s">
        <v>165</v>
      </c>
      <c r="E198" s="80">
        <v>720</v>
      </c>
      <c r="F198" s="80">
        <v>600</v>
      </c>
      <c r="G198" s="80">
        <v>300</v>
      </c>
      <c r="H198" s="80">
        <v>0</v>
      </c>
      <c r="I198" s="81">
        <f>((E198*2+F198*(ТаблицаКорпус[[#This Row],[Кол-во полок]]+3))*G198)/1000000*$O$1</f>
        <v>3110.4</v>
      </c>
      <c r="J198" s="82">
        <v>0</v>
      </c>
      <c r="K198" s="83">
        <f t="shared" si="33"/>
        <v>0</v>
      </c>
      <c r="L198" s="84"/>
      <c r="M198" s="85" t="s">
        <v>336</v>
      </c>
      <c r="N198" s="86"/>
      <c r="O198" s="76">
        <v>2</v>
      </c>
      <c r="P198" s="76">
        <f>ТаблицаКорпус[[#This Row],[Высота]]/2-3</f>
        <v>357</v>
      </c>
      <c r="Q198" s="76">
        <f>ТаблицаКорпус[[#This Row],[Ширина]]-3</f>
        <v>597</v>
      </c>
      <c r="R198" s="76">
        <f>ТаблицаКорпус[[#This Row],[Фасад 1 Высота]]</f>
        <v>357</v>
      </c>
      <c r="S198" s="76">
        <f>ТаблицаКорпус[[#This Row],[Ширина]]-3</f>
        <v>597</v>
      </c>
      <c r="T198" s="76"/>
      <c r="U198" s="76"/>
      <c r="V198" s="76"/>
      <c r="W198" s="76"/>
      <c r="X198" s="76"/>
    </row>
    <row r="199" spans="2:24" ht="154.15" customHeight="1">
      <c r="B199" s="94"/>
      <c r="C199" s="78"/>
      <c r="D199" s="79" t="s">
        <v>166</v>
      </c>
      <c r="E199" s="80">
        <v>720</v>
      </c>
      <c r="F199" s="80">
        <v>900</v>
      </c>
      <c r="G199" s="80">
        <v>300</v>
      </c>
      <c r="H199" s="80">
        <v>1</v>
      </c>
      <c r="I199" s="81">
        <f>((E199*3+F199*(ТаблицаКорпус[[#This Row],[Кол-во полок]]+1))*G199+(F199-600)*G199)/1000000*$O$1</f>
        <v>4089.6</v>
      </c>
      <c r="J199" s="82">
        <v>0</v>
      </c>
      <c r="K199" s="83">
        <f t="shared" si="33"/>
        <v>0</v>
      </c>
      <c r="L199" s="84"/>
      <c r="M199" s="85" t="s">
        <v>337</v>
      </c>
      <c r="N199" s="86"/>
      <c r="O199" s="76">
        <v>2</v>
      </c>
      <c r="P199" s="76">
        <f>ТаблицаКорпус[[#This Row],[Высота]]-3</f>
        <v>717</v>
      </c>
      <c r="Q199" s="76">
        <f>ТаблицаКорпус[[#This Row],[Ширина]]/2-3</f>
        <v>447</v>
      </c>
      <c r="R199" s="76">
        <f>ТаблицаКорпус[[#This Row],[Фасад 1 Высота]]</f>
        <v>717</v>
      </c>
      <c r="S199" s="76">
        <f>ТаблицаКорпус[[#This Row],[Ширина]]/2-3</f>
        <v>447</v>
      </c>
      <c r="T199" s="76"/>
      <c r="U199" s="76"/>
      <c r="V199" s="76"/>
      <c r="W199" s="76"/>
      <c r="X199" s="76"/>
    </row>
    <row r="200" spans="2:24" ht="154.15" customHeight="1">
      <c r="B200" s="94"/>
      <c r="C200" s="78"/>
      <c r="D200" s="79" t="s">
        <v>167</v>
      </c>
      <c r="E200" s="80">
        <v>720</v>
      </c>
      <c r="F200" s="80">
        <v>900</v>
      </c>
      <c r="G200" s="80">
        <v>300</v>
      </c>
      <c r="H200" s="80">
        <v>1</v>
      </c>
      <c r="I200" s="81">
        <f>((E200*3+F200*(ТаблицаКорпус[[#This Row],[Кол-во полок]]+1))*G200+(F200-600)*G200)/1000000*$O$1</f>
        <v>4089.6</v>
      </c>
      <c r="J200" s="82">
        <v>0</v>
      </c>
      <c r="K200" s="83">
        <f t="shared" si="33"/>
        <v>0</v>
      </c>
      <c r="L200" s="84"/>
      <c r="M200" s="85" t="s">
        <v>338</v>
      </c>
      <c r="N200" s="86"/>
      <c r="O200" s="76">
        <v>2</v>
      </c>
      <c r="P200" s="76">
        <f>ТаблицаКорпус[[#This Row],[Высота]]-3</f>
        <v>717</v>
      </c>
      <c r="Q200" s="76">
        <f>ТаблицаКорпус[[#This Row],[Ширина]]/2-3</f>
        <v>447</v>
      </c>
      <c r="R200" s="76">
        <f>ТаблицаКорпус[[#This Row],[Фасад 1 Высота]]</f>
        <v>717</v>
      </c>
      <c r="S200" s="76">
        <f>ТаблицаКорпус[[#This Row],[Ширина]]/2-3</f>
        <v>447</v>
      </c>
      <c r="T200" s="76"/>
      <c r="U200" s="76"/>
      <c r="V200" s="76"/>
      <c r="W200" s="76"/>
      <c r="X200" s="76"/>
    </row>
    <row r="201" spans="2:24" ht="154.15" customHeight="1">
      <c r="B201" s="94"/>
      <c r="C201" s="78"/>
      <c r="D201" s="79" t="s">
        <v>168</v>
      </c>
      <c r="E201" s="80">
        <v>360</v>
      </c>
      <c r="F201" s="80">
        <v>600</v>
      </c>
      <c r="G201" s="80">
        <v>300</v>
      </c>
      <c r="H201" s="80">
        <v>0</v>
      </c>
      <c r="I201" s="81">
        <f>((E201*2+F201*(ТаблицаКорпус[[#This Row],[Кол-во полок]]+2))*G201)/1000000*$O$1</f>
        <v>1843.1999999999998</v>
      </c>
      <c r="J201" s="82">
        <v>0</v>
      </c>
      <c r="K201" s="83">
        <f t="shared" ref="K201" si="37">I201*J201</f>
        <v>0</v>
      </c>
      <c r="L201" s="84"/>
      <c r="M201" s="85" t="s">
        <v>339</v>
      </c>
      <c r="N201" s="86"/>
      <c r="O201" s="76">
        <v>1</v>
      </c>
      <c r="P201" s="76">
        <f>ТаблицаКорпус[[#This Row],[Высота]]-3</f>
        <v>357</v>
      </c>
      <c r="Q201" s="76">
        <f>ТаблицаКорпус[[#This Row],[Ширина]]-3</f>
        <v>597</v>
      </c>
      <c r="R201" s="76"/>
      <c r="S201" s="76"/>
      <c r="T201" s="76"/>
      <c r="U201" s="76"/>
      <c r="V201" s="76"/>
      <c r="W201" s="76"/>
      <c r="X201" s="76"/>
    </row>
    <row r="202" spans="2:24" ht="154.15" customHeight="1">
      <c r="B202" s="94"/>
      <c r="C202" s="78"/>
      <c r="D202" s="79" t="s">
        <v>168</v>
      </c>
      <c r="E202" s="80">
        <v>360</v>
      </c>
      <c r="F202" s="80">
        <v>600</v>
      </c>
      <c r="G202" s="80">
        <v>300</v>
      </c>
      <c r="H202" s="80">
        <v>0</v>
      </c>
      <c r="I202" s="81">
        <f>((E202*2+F202*(ТаблицаКорпус[[#This Row],[Кол-во полок]]+2))*G202)/1000000*$O$1</f>
        <v>1843.1999999999998</v>
      </c>
      <c r="J202" s="82">
        <v>0</v>
      </c>
      <c r="K202" s="83">
        <f t="shared" ref="K202" si="38">I202*J202</f>
        <v>0</v>
      </c>
      <c r="L202" s="84"/>
      <c r="M202" s="85" t="s">
        <v>339</v>
      </c>
      <c r="N202" s="86"/>
      <c r="O202" s="76">
        <v>1</v>
      </c>
      <c r="P202" s="76">
        <f>ТаблицаКорпус[[#This Row],[Высота]]-3</f>
        <v>357</v>
      </c>
      <c r="Q202" s="76">
        <f>ТаблицаКорпус[[#This Row],[Ширина]]-3</f>
        <v>597</v>
      </c>
      <c r="R202" s="76"/>
      <c r="S202" s="76"/>
      <c r="T202" s="76"/>
      <c r="U202" s="76"/>
      <c r="V202" s="76"/>
      <c r="W202" s="76"/>
      <c r="X202" s="76"/>
    </row>
    <row r="203" spans="2:24" ht="154.15" customHeight="1">
      <c r="B203" s="94"/>
      <c r="C203" s="78"/>
      <c r="D203" s="79" t="s">
        <v>168</v>
      </c>
      <c r="E203" s="80">
        <v>360</v>
      </c>
      <c r="F203" s="80">
        <v>600</v>
      </c>
      <c r="G203" s="80">
        <v>300</v>
      </c>
      <c r="H203" s="80">
        <v>0</v>
      </c>
      <c r="I203" s="81">
        <f>((E203*2+F203*(ТаблицаКорпус[[#This Row],[Кол-во полок]]+2))*G203)/1000000*$O$1</f>
        <v>1843.1999999999998</v>
      </c>
      <c r="J203" s="82">
        <v>0</v>
      </c>
      <c r="K203" s="83">
        <f t="shared" si="33"/>
        <v>0</v>
      </c>
      <c r="L203" s="84"/>
      <c r="M203" s="85" t="s">
        <v>339</v>
      </c>
      <c r="N203" s="86"/>
      <c r="O203" s="76">
        <v>1</v>
      </c>
      <c r="P203" s="76">
        <f>ТаблицаКорпус[[#This Row],[Высота]]-3</f>
        <v>357</v>
      </c>
      <c r="Q203" s="76">
        <f>ТаблицаКорпус[[#This Row],[Ширина]]-3</f>
        <v>597</v>
      </c>
      <c r="R203" s="76"/>
      <c r="S203" s="76"/>
      <c r="T203" s="76"/>
      <c r="U203" s="76"/>
      <c r="V203" s="76"/>
      <c r="W203" s="76"/>
      <c r="X203" s="76"/>
    </row>
    <row r="204" spans="2:24" ht="154.15" customHeight="1">
      <c r="B204" s="94"/>
      <c r="C204" s="78"/>
      <c r="D204" s="79" t="s">
        <v>169</v>
      </c>
      <c r="E204" s="80">
        <v>360</v>
      </c>
      <c r="F204" s="80">
        <v>600</v>
      </c>
      <c r="G204" s="80">
        <v>300</v>
      </c>
      <c r="H204" s="80">
        <v>0</v>
      </c>
      <c r="I204" s="81">
        <f>((E204*2+F204*(ТаблицаКорпус[[#This Row],[Кол-во полок]]+2))*G204)/1000000*$O$1</f>
        <v>1843.1999999999998</v>
      </c>
      <c r="J204" s="82">
        <v>0</v>
      </c>
      <c r="K204" s="83">
        <f t="shared" ref="K204" si="39">I204*J204</f>
        <v>0</v>
      </c>
      <c r="L204" s="84"/>
      <c r="M204" s="85" t="s">
        <v>340</v>
      </c>
      <c r="N204" s="86"/>
      <c r="O204" s="76">
        <v>1</v>
      </c>
      <c r="P204" s="76">
        <f>ТаблицаКорпус[[#This Row],[Высота]]-3</f>
        <v>357</v>
      </c>
      <c r="Q204" s="76">
        <f>ТаблицаКорпус[[#This Row],[Ширина]]-3</f>
        <v>597</v>
      </c>
      <c r="R204" s="76"/>
      <c r="S204" s="76"/>
      <c r="T204" s="76"/>
      <c r="U204" s="76"/>
      <c r="V204" s="76"/>
      <c r="W204" s="76"/>
      <c r="X204" s="76"/>
    </row>
    <row r="205" spans="2:24" ht="154.15" customHeight="1">
      <c r="B205" s="94"/>
      <c r="C205" s="78"/>
      <c r="D205" s="79" t="s">
        <v>169</v>
      </c>
      <c r="E205" s="80">
        <v>360</v>
      </c>
      <c r="F205" s="80">
        <v>600</v>
      </c>
      <c r="G205" s="80">
        <v>300</v>
      </c>
      <c r="H205" s="80">
        <v>0</v>
      </c>
      <c r="I205" s="81">
        <f>((E205*2+F205*(ТаблицаКорпус[[#This Row],[Кол-во полок]]+2))*G205)/1000000*$O$1</f>
        <v>1843.1999999999998</v>
      </c>
      <c r="J205" s="82">
        <v>0</v>
      </c>
      <c r="K205" s="83">
        <f t="shared" ref="K205" si="40">I205*J205</f>
        <v>0</v>
      </c>
      <c r="L205" s="84"/>
      <c r="M205" s="85" t="s">
        <v>340</v>
      </c>
      <c r="N205" s="86"/>
      <c r="O205" s="76">
        <v>1</v>
      </c>
      <c r="P205" s="76">
        <f>ТаблицаКорпус[[#This Row],[Высота]]-3</f>
        <v>357</v>
      </c>
      <c r="Q205" s="76">
        <f>ТаблицаКорпус[[#This Row],[Ширина]]-3</f>
        <v>597</v>
      </c>
      <c r="R205" s="76"/>
      <c r="S205" s="76"/>
      <c r="T205" s="76"/>
      <c r="U205" s="76"/>
      <c r="V205" s="76"/>
      <c r="W205" s="76"/>
      <c r="X205" s="76"/>
    </row>
    <row r="206" spans="2:24" ht="154.15" customHeight="1">
      <c r="B206" s="94"/>
      <c r="C206" s="78"/>
      <c r="D206" s="79" t="s">
        <v>169</v>
      </c>
      <c r="E206" s="80">
        <v>360</v>
      </c>
      <c r="F206" s="80">
        <v>600</v>
      </c>
      <c r="G206" s="80">
        <v>300</v>
      </c>
      <c r="H206" s="80">
        <v>0</v>
      </c>
      <c r="I206" s="81">
        <f>((E206*2+F206*(ТаблицаКорпус[[#This Row],[Кол-во полок]]+2))*G206)/1000000*$O$1</f>
        <v>1843.1999999999998</v>
      </c>
      <c r="J206" s="82">
        <v>0</v>
      </c>
      <c r="K206" s="83">
        <f t="shared" si="33"/>
        <v>0</v>
      </c>
      <c r="L206" s="84"/>
      <c r="M206" s="85" t="s">
        <v>340</v>
      </c>
      <c r="N206" s="86"/>
      <c r="O206" s="76">
        <v>1</v>
      </c>
      <c r="P206" s="76">
        <f>ТаблицаКорпус[[#This Row],[Высота]]-3</f>
        <v>357</v>
      </c>
      <c r="Q206" s="76">
        <f>ТаблицаКорпус[[#This Row],[Ширина]]-3</f>
        <v>597</v>
      </c>
      <c r="R206" s="76"/>
      <c r="S206" s="76"/>
      <c r="T206" s="76"/>
      <c r="U206" s="76"/>
      <c r="V206" s="76"/>
      <c r="W206" s="76"/>
      <c r="X206" s="76"/>
    </row>
    <row r="207" spans="2:24" ht="154.15" customHeight="1">
      <c r="B207" s="94"/>
      <c r="C207" s="78"/>
      <c r="D207" s="79" t="s">
        <v>170</v>
      </c>
      <c r="E207" s="80">
        <v>360</v>
      </c>
      <c r="F207" s="80">
        <v>600</v>
      </c>
      <c r="G207" s="80">
        <v>300</v>
      </c>
      <c r="H207" s="80">
        <v>0</v>
      </c>
      <c r="I207" s="81">
        <f>((E207*2+F207*(ТаблицаКорпус[[#This Row],[Кол-во полок]]+2))*G207)/1000000*$O$1</f>
        <v>1843.1999999999998</v>
      </c>
      <c r="J207" s="82">
        <v>0</v>
      </c>
      <c r="K207" s="83">
        <f t="shared" ref="K207" si="41">I207*J207</f>
        <v>0</v>
      </c>
      <c r="L207" s="84"/>
      <c r="M207" s="85" t="s">
        <v>341</v>
      </c>
      <c r="N207" s="86"/>
      <c r="O207" s="76">
        <v>1</v>
      </c>
      <c r="P207" s="76">
        <f>ТаблицаКорпус[[#This Row],[Высота]]-3</f>
        <v>357</v>
      </c>
      <c r="Q207" s="76">
        <f>ТаблицаКорпус[[#This Row],[Ширина]]-3</f>
        <v>597</v>
      </c>
      <c r="R207" s="76"/>
      <c r="S207" s="76"/>
      <c r="T207" s="76"/>
      <c r="U207" s="76"/>
      <c r="V207" s="76"/>
      <c r="W207" s="76"/>
      <c r="X207" s="76"/>
    </row>
    <row r="208" spans="2:24" ht="154.15" customHeight="1">
      <c r="B208" s="94"/>
      <c r="C208" s="78"/>
      <c r="D208" s="79" t="s">
        <v>170</v>
      </c>
      <c r="E208" s="80">
        <v>360</v>
      </c>
      <c r="F208" s="80">
        <v>600</v>
      </c>
      <c r="G208" s="80">
        <v>300</v>
      </c>
      <c r="H208" s="80">
        <v>0</v>
      </c>
      <c r="I208" s="81">
        <f>((E208*2+F208*(ТаблицаКорпус[[#This Row],[Кол-во полок]]+2))*G208)/1000000*$O$1</f>
        <v>1843.1999999999998</v>
      </c>
      <c r="J208" s="82">
        <v>0</v>
      </c>
      <c r="K208" s="83">
        <f t="shared" ref="K208" si="42">I208*J208</f>
        <v>0</v>
      </c>
      <c r="L208" s="84"/>
      <c r="M208" s="85" t="s">
        <v>341</v>
      </c>
      <c r="N208" s="86"/>
      <c r="O208" s="76">
        <v>1</v>
      </c>
      <c r="P208" s="76">
        <f>ТаблицаКорпус[[#This Row],[Высота]]-3</f>
        <v>357</v>
      </c>
      <c r="Q208" s="76">
        <f>ТаблицаКорпус[[#This Row],[Ширина]]-3</f>
        <v>597</v>
      </c>
      <c r="R208" s="76"/>
      <c r="S208" s="76"/>
      <c r="T208" s="76"/>
      <c r="U208" s="76"/>
      <c r="V208" s="76"/>
      <c r="W208" s="76"/>
      <c r="X208" s="76"/>
    </row>
    <row r="209" spans="2:24" ht="154.15" customHeight="1">
      <c r="B209" s="94"/>
      <c r="C209" s="78"/>
      <c r="D209" s="79" t="s">
        <v>170</v>
      </c>
      <c r="E209" s="80">
        <v>360</v>
      </c>
      <c r="F209" s="80">
        <v>600</v>
      </c>
      <c r="G209" s="80">
        <v>300</v>
      </c>
      <c r="H209" s="80">
        <v>0</v>
      </c>
      <c r="I209" s="81">
        <f>((E209*2+F209*(ТаблицаКорпус[[#This Row],[Кол-во полок]]+2))*G209)/1000000*$O$1</f>
        <v>1843.1999999999998</v>
      </c>
      <c r="J209" s="82">
        <v>0</v>
      </c>
      <c r="K209" s="83">
        <f t="shared" si="33"/>
        <v>0</v>
      </c>
      <c r="L209" s="84"/>
      <c r="M209" s="85" t="s">
        <v>341</v>
      </c>
      <c r="N209" s="86"/>
      <c r="O209" s="76">
        <v>1</v>
      </c>
      <c r="P209" s="76">
        <f>ТаблицаКорпус[[#This Row],[Высота]]-3</f>
        <v>357</v>
      </c>
      <c r="Q209" s="76">
        <f>ТаблицаКорпус[[#This Row],[Ширина]]-3</f>
        <v>597</v>
      </c>
      <c r="R209" s="76"/>
      <c r="S209" s="76"/>
      <c r="T209" s="76"/>
      <c r="U209" s="76"/>
      <c r="V209" s="76"/>
      <c r="W209" s="76"/>
      <c r="X209" s="76"/>
    </row>
    <row r="210" spans="2:24" ht="154.15" customHeight="1">
      <c r="B210" s="94"/>
      <c r="C210" s="78"/>
      <c r="D210" s="79" t="s">
        <v>156</v>
      </c>
      <c r="E210" s="80">
        <v>720</v>
      </c>
      <c r="F210" s="80">
        <v>600</v>
      </c>
      <c r="G210" s="80">
        <v>300</v>
      </c>
      <c r="H210" s="80">
        <v>1</v>
      </c>
      <c r="I210" s="81">
        <f>((E210*2+F210*(ТаблицаКорпус[[#This Row],[Кол-во полок]]+2))*G210)/1000000*$O$1</f>
        <v>3110.4</v>
      </c>
      <c r="J210" s="82">
        <v>0</v>
      </c>
      <c r="K210" s="83">
        <f t="shared" ref="K210" si="43">I210*J210</f>
        <v>0</v>
      </c>
      <c r="L210" s="84"/>
      <c r="M210" s="85" t="s">
        <v>342</v>
      </c>
      <c r="N210" s="86"/>
      <c r="O210" s="76">
        <v>1</v>
      </c>
      <c r="P210" s="76">
        <f>ТаблицаКорпус[[#This Row],[Высота]]-3</f>
        <v>717</v>
      </c>
      <c r="Q210" s="76">
        <f>ТаблицаКорпус[[#This Row],[Ширина]]-3</f>
        <v>597</v>
      </c>
      <c r="R210" s="76"/>
      <c r="S210" s="76"/>
      <c r="T210" s="76"/>
      <c r="U210" s="76"/>
      <c r="V210" s="76"/>
      <c r="W210" s="76"/>
      <c r="X210" s="76"/>
    </row>
    <row r="211" spans="2:24" ht="154.15" customHeight="1">
      <c r="B211" s="94"/>
      <c r="C211" s="78"/>
      <c r="D211" s="79" t="s">
        <v>156</v>
      </c>
      <c r="E211" s="80">
        <v>720</v>
      </c>
      <c r="F211" s="80">
        <v>600</v>
      </c>
      <c r="G211" s="80">
        <v>300</v>
      </c>
      <c r="H211" s="80">
        <v>1</v>
      </c>
      <c r="I211" s="81">
        <f>((E211*2+F211*(ТаблицаКорпус[[#This Row],[Кол-во полок]]+2))*G211)/1000000*$O$1</f>
        <v>3110.4</v>
      </c>
      <c r="J211" s="82">
        <v>0</v>
      </c>
      <c r="K211" s="83">
        <f t="shared" ref="K211" si="44">I211*J211</f>
        <v>0</v>
      </c>
      <c r="L211" s="84"/>
      <c r="M211" s="85" t="s">
        <v>342</v>
      </c>
      <c r="N211" s="86"/>
      <c r="O211" s="76">
        <v>1</v>
      </c>
      <c r="P211" s="76">
        <f>ТаблицаКорпус[[#This Row],[Высота]]-3</f>
        <v>717</v>
      </c>
      <c r="Q211" s="76">
        <f>ТаблицаКорпус[[#This Row],[Ширина]]-3</f>
        <v>597</v>
      </c>
      <c r="R211" s="76"/>
      <c r="S211" s="76"/>
      <c r="T211" s="76"/>
      <c r="U211" s="76"/>
      <c r="V211" s="76"/>
      <c r="W211" s="76"/>
      <c r="X211" s="76"/>
    </row>
    <row r="212" spans="2:24" ht="154.15" customHeight="1">
      <c r="B212" s="94"/>
      <c r="C212" s="78"/>
      <c r="D212" s="79" t="s">
        <v>156</v>
      </c>
      <c r="E212" s="80">
        <v>720</v>
      </c>
      <c r="F212" s="80">
        <v>600</v>
      </c>
      <c r="G212" s="80">
        <v>300</v>
      </c>
      <c r="H212" s="80">
        <v>1</v>
      </c>
      <c r="I212" s="81">
        <f>((E212*2+F212*(ТаблицаКорпус[[#This Row],[Кол-во полок]]+2))*G212)/1000000*$O$1</f>
        <v>3110.4</v>
      </c>
      <c r="J212" s="82">
        <v>0</v>
      </c>
      <c r="K212" s="83">
        <f t="shared" si="33"/>
        <v>0</v>
      </c>
      <c r="L212" s="84"/>
      <c r="M212" s="85" t="s">
        <v>342</v>
      </c>
      <c r="N212" s="86"/>
      <c r="O212" s="76">
        <v>1</v>
      </c>
      <c r="P212" s="76">
        <f>ТаблицаКорпус[[#This Row],[Высота]]-3</f>
        <v>717</v>
      </c>
      <c r="Q212" s="76">
        <f>ТаблицаКорпус[[#This Row],[Ширина]]-3</f>
        <v>597</v>
      </c>
      <c r="R212" s="76"/>
      <c r="S212" s="76"/>
      <c r="T212" s="76"/>
      <c r="U212" s="76"/>
      <c r="V212" s="76"/>
      <c r="W212" s="76"/>
      <c r="X212" s="76"/>
    </row>
    <row r="213" spans="2:24" ht="154.15" customHeight="1">
      <c r="B213" s="94"/>
      <c r="C213" s="78"/>
      <c r="D213" s="79" t="s">
        <v>157</v>
      </c>
      <c r="E213" s="80">
        <v>720</v>
      </c>
      <c r="F213" s="80">
        <v>900</v>
      </c>
      <c r="G213" s="80">
        <v>300</v>
      </c>
      <c r="H213" s="80">
        <v>1</v>
      </c>
      <c r="I213" s="81">
        <f>((E213*2+F213*(ТаблицаКорпус[[#This Row],[Кол-во полок]]+2))*G213)/1000000*$O$1</f>
        <v>3974.4</v>
      </c>
      <c r="J213" s="82">
        <v>0</v>
      </c>
      <c r="K213" s="83">
        <f t="shared" ref="K213" si="45">I213*J213</f>
        <v>0</v>
      </c>
      <c r="L213" s="84"/>
      <c r="M213" s="85" t="s">
        <v>343</v>
      </c>
      <c r="N213" s="86"/>
      <c r="O213" s="76">
        <v>2</v>
      </c>
      <c r="P213" s="76">
        <f>ТаблицаКорпус[[#This Row],[Высота]]-3</f>
        <v>717</v>
      </c>
      <c r="Q213" s="76">
        <f>ТаблицаКорпус[[#This Row],[Ширина]]/2-3</f>
        <v>447</v>
      </c>
      <c r="R213" s="76">
        <f>ТаблицаКорпус[[#This Row],[Фасад 1 Высота]]</f>
        <v>717</v>
      </c>
      <c r="S213" s="76">
        <f>ТаблицаКорпус[[#This Row],[Ширина]]/2-3</f>
        <v>447</v>
      </c>
      <c r="T213" s="76"/>
      <c r="U213" s="76"/>
      <c r="V213" s="76"/>
      <c r="W213" s="76"/>
      <c r="X213" s="76"/>
    </row>
    <row r="214" spans="2:24" ht="154.15" customHeight="1">
      <c r="B214" s="94"/>
      <c r="C214" s="78"/>
      <c r="D214" s="79" t="s">
        <v>157</v>
      </c>
      <c r="E214" s="80">
        <v>720</v>
      </c>
      <c r="F214" s="80">
        <v>900</v>
      </c>
      <c r="G214" s="80">
        <v>300</v>
      </c>
      <c r="H214" s="80">
        <v>1</v>
      </c>
      <c r="I214" s="81">
        <f>((E214*2+F214*(ТаблицаКорпус[[#This Row],[Кол-во полок]]+2))*G214)/1000000*$O$1</f>
        <v>3974.4</v>
      </c>
      <c r="J214" s="82">
        <v>0</v>
      </c>
      <c r="K214" s="83">
        <f t="shared" ref="K214" si="46">I214*J214</f>
        <v>0</v>
      </c>
      <c r="L214" s="84"/>
      <c r="M214" s="85" t="s">
        <v>343</v>
      </c>
      <c r="N214" s="86"/>
      <c r="O214" s="76">
        <v>2</v>
      </c>
      <c r="P214" s="76">
        <f>ТаблицаКорпус[[#This Row],[Высота]]-3</f>
        <v>717</v>
      </c>
      <c r="Q214" s="76">
        <f>ТаблицаКорпус[[#This Row],[Ширина]]/2-3</f>
        <v>447</v>
      </c>
      <c r="R214" s="76">
        <f>ТаблицаКорпус[[#This Row],[Фасад 1 Высота]]</f>
        <v>717</v>
      </c>
      <c r="S214" s="76">
        <f>ТаблицаКорпус[[#This Row],[Ширина]]/2-3</f>
        <v>447</v>
      </c>
      <c r="T214" s="76"/>
      <c r="U214" s="76"/>
      <c r="V214" s="76"/>
      <c r="W214" s="76"/>
      <c r="X214" s="76"/>
    </row>
    <row r="215" spans="2:24" ht="154.15" customHeight="1">
      <c r="B215" s="94"/>
      <c r="C215" s="78"/>
      <c r="D215" s="79" t="s">
        <v>157</v>
      </c>
      <c r="E215" s="80">
        <v>720</v>
      </c>
      <c r="F215" s="80">
        <v>900</v>
      </c>
      <c r="G215" s="80">
        <v>300</v>
      </c>
      <c r="H215" s="80">
        <v>1</v>
      </c>
      <c r="I215" s="81">
        <f>((E215*2+F215*(ТаблицаКорпус[[#This Row],[Кол-во полок]]+2))*G215)/1000000*$O$1</f>
        <v>3974.4</v>
      </c>
      <c r="J215" s="82">
        <v>0</v>
      </c>
      <c r="K215" s="83">
        <f t="shared" si="33"/>
        <v>0</v>
      </c>
      <c r="L215" s="84"/>
      <c r="M215" s="85" t="s">
        <v>343</v>
      </c>
      <c r="N215" s="86"/>
      <c r="O215" s="76">
        <v>2</v>
      </c>
      <c r="P215" s="76">
        <f>ТаблицаКорпус[[#This Row],[Высота]]-3</f>
        <v>717</v>
      </c>
      <c r="Q215" s="76">
        <f>ТаблицаКорпус[[#This Row],[Ширина]]/2-3</f>
        <v>447</v>
      </c>
      <c r="R215" s="76">
        <f>ТаблицаКорпус[[#This Row],[Фасад 1 Высота]]</f>
        <v>717</v>
      </c>
      <c r="S215" s="76">
        <f>ТаблицаКорпус[[#This Row],[Ширина]]/2-3</f>
        <v>447</v>
      </c>
      <c r="T215" s="76"/>
      <c r="U215" s="76"/>
      <c r="V215" s="76"/>
      <c r="W215" s="76"/>
      <c r="X215" s="76"/>
    </row>
    <row r="216" spans="2:24" ht="154.15" customHeight="1">
      <c r="B216" s="94"/>
      <c r="C216" s="78"/>
      <c r="D216" s="79" t="s">
        <v>171</v>
      </c>
      <c r="E216" s="80">
        <v>720</v>
      </c>
      <c r="F216" s="80">
        <v>300</v>
      </c>
      <c r="G216" s="80">
        <v>300</v>
      </c>
      <c r="H216" s="80">
        <v>1</v>
      </c>
      <c r="I216" s="81">
        <f>((E216*2+F216*(ТаблицаКорпус[[#This Row],[Кол-во полок]]+2))*G216)/1000000*$O$1</f>
        <v>2246.3999999999996</v>
      </c>
      <c r="J216" s="82">
        <v>0</v>
      </c>
      <c r="K216" s="83">
        <f t="shared" si="33"/>
        <v>0</v>
      </c>
      <c r="L216" s="84"/>
      <c r="M216" s="85" t="s">
        <v>344</v>
      </c>
      <c r="N216" s="86"/>
      <c r="O216" s="76">
        <v>1</v>
      </c>
      <c r="P216" s="76">
        <f>ТаблицаКорпус[[#This Row],[Высота]]-3</f>
        <v>717</v>
      </c>
      <c r="Q216" s="76">
        <v>421</v>
      </c>
      <c r="R216" s="76"/>
      <c r="S216" s="76"/>
      <c r="T216" s="76"/>
      <c r="U216" s="76"/>
      <c r="V216" s="76"/>
      <c r="W216" s="76"/>
      <c r="X216" s="76"/>
    </row>
    <row r="217" spans="2:24" ht="154.15" customHeight="1">
      <c r="B217" s="94"/>
      <c r="C217" s="78"/>
      <c r="D217" s="79" t="s">
        <v>172</v>
      </c>
      <c r="E217" s="80">
        <v>720</v>
      </c>
      <c r="F217" s="80">
        <v>300</v>
      </c>
      <c r="G217" s="80">
        <v>300</v>
      </c>
      <c r="H217" s="80">
        <v>1</v>
      </c>
      <c r="I217" s="81">
        <f>((E217*2+F217*(ТаблицаКорпус[[#This Row],[Кол-во полок]]+2))*G217)/1000000*$O$1</f>
        <v>2246.3999999999996</v>
      </c>
      <c r="J217" s="82">
        <v>0</v>
      </c>
      <c r="K217" s="83">
        <f t="shared" si="33"/>
        <v>0</v>
      </c>
      <c r="L217" s="84" t="s">
        <v>367</v>
      </c>
      <c r="M217" s="85" t="s">
        <v>345</v>
      </c>
      <c r="N217" s="86"/>
      <c r="O217" s="76">
        <v>1</v>
      </c>
      <c r="P217" s="76">
        <f>ТаблицаКорпус[[#This Row],[Высота]]-3</f>
        <v>717</v>
      </c>
      <c r="Q217" s="76"/>
      <c r="R217" s="76"/>
      <c r="S217" s="76"/>
      <c r="T217" s="76"/>
      <c r="U217" s="76"/>
      <c r="V217" s="76"/>
      <c r="W217" s="76"/>
      <c r="X217" s="76">
        <f>ТаблицаКорпус[[#This Row],[Фасад 1 Высота]]</f>
        <v>717</v>
      </c>
    </row>
    <row r="218" spans="2:24" ht="154.15" customHeight="1">
      <c r="B218" s="94"/>
      <c r="C218" s="78"/>
      <c r="D218" s="79" t="s">
        <v>173</v>
      </c>
      <c r="E218" s="80">
        <v>720</v>
      </c>
      <c r="F218" s="80">
        <v>300</v>
      </c>
      <c r="G218" s="80">
        <v>300</v>
      </c>
      <c r="H218" s="80">
        <v>1</v>
      </c>
      <c r="I218" s="81">
        <f>((E218*2+F218*(ТаблицаКорпус[[#This Row],[Кол-во полок]]+2))*G218)/1000000*$O$1</f>
        <v>2246.3999999999996</v>
      </c>
      <c r="J218" s="82">
        <v>0</v>
      </c>
      <c r="K218" s="83">
        <f t="shared" si="33"/>
        <v>0</v>
      </c>
      <c r="L218" s="84" t="s">
        <v>367</v>
      </c>
      <c r="M218" s="85" t="s">
        <v>346</v>
      </c>
      <c r="N218" s="86"/>
      <c r="O218" s="76">
        <v>1</v>
      </c>
      <c r="P218" s="76">
        <f>ТаблицаКорпус[[#This Row],[Высота]]-3</f>
        <v>717</v>
      </c>
      <c r="Q218" s="76"/>
      <c r="R218" s="76"/>
      <c r="S218" s="76"/>
      <c r="T218" s="76"/>
      <c r="U218" s="76"/>
      <c r="V218" s="76"/>
      <c r="W218" s="76"/>
      <c r="X218" s="76">
        <f>ТаблицаКорпус[[#This Row],[Фасад 1 Высота]]</f>
        <v>717</v>
      </c>
    </row>
    <row r="219" spans="2:24" ht="154.15" customHeight="1">
      <c r="B219" s="94"/>
      <c r="C219" s="78"/>
      <c r="D219" s="79" t="s">
        <v>174</v>
      </c>
      <c r="E219" s="80">
        <v>720</v>
      </c>
      <c r="F219" s="80">
        <v>600</v>
      </c>
      <c r="G219" s="80">
        <v>300</v>
      </c>
      <c r="H219" s="80">
        <v>0</v>
      </c>
      <c r="I219" s="81">
        <f>((E219*2+F219*(ТаблицаКорпус[[#This Row],[Кол-во полок]]+2))*G219)/1000000*$O$1</f>
        <v>2534.4</v>
      </c>
      <c r="J219" s="82">
        <v>0</v>
      </c>
      <c r="K219" s="83">
        <f t="shared" si="33"/>
        <v>0</v>
      </c>
      <c r="L219" s="84"/>
      <c r="M219" s="85" t="s">
        <v>347</v>
      </c>
      <c r="N219" s="86"/>
      <c r="O219" s="76">
        <v>1</v>
      </c>
      <c r="P219" s="76">
        <f>ТаблицаКорпус[[#This Row],[Высота]]-3</f>
        <v>717</v>
      </c>
      <c r="Q219" s="76">
        <f>ТаблицаКорпус[[#This Row],[Ширина]]-3</f>
        <v>597</v>
      </c>
      <c r="R219" s="76">
        <f>ТаблицаКорпус[[#This Row],[Фасад 1 Высота]]</f>
        <v>717</v>
      </c>
      <c r="S219" s="76"/>
      <c r="T219" s="76">
        <f>ТаблицаКорпус[[#This Row],[Фасад 1 Высота]]</f>
        <v>717</v>
      </c>
      <c r="U219" s="76"/>
      <c r="V219" s="76">
        <f>ТаблицаКорпус[[#This Row],[Фасад 1 Высота]]</f>
        <v>717</v>
      </c>
      <c r="W219" s="76"/>
      <c r="X219" s="76"/>
    </row>
    <row r="220" spans="2:24" ht="154.15" customHeight="1">
      <c r="B220" s="94"/>
      <c r="C220" s="78"/>
      <c r="D220" s="79" t="s">
        <v>175</v>
      </c>
      <c r="E220" s="80">
        <v>720</v>
      </c>
      <c r="F220" s="80">
        <v>900</v>
      </c>
      <c r="G220" s="80">
        <v>300</v>
      </c>
      <c r="H220" s="80">
        <v>0</v>
      </c>
      <c r="I220" s="81">
        <f>((E220*2+F220*(ТаблицаКорпус[[#This Row],[Кол-во полок]]+2))*G220)/1000000*$O$1</f>
        <v>3110.4</v>
      </c>
      <c r="J220" s="82">
        <v>0</v>
      </c>
      <c r="K220" s="83">
        <f t="shared" si="33"/>
        <v>0</v>
      </c>
      <c r="L220" s="84"/>
      <c r="M220" s="85" t="s">
        <v>348</v>
      </c>
      <c r="N220" s="86"/>
      <c r="O220" s="76">
        <v>2</v>
      </c>
      <c r="P220" s="76">
        <f>ТаблицаКорпус[[#This Row],[Высота]]-3</f>
        <v>717</v>
      </c>
      <c r="Q220" s="76">
        <f>ТаблицаКорпус[[#This Row],[Ширина]]/2-3</f>
        <v>447</v>
      </c>
      <c r="R220" s="76">
        <f>ТаблицаКорпус[[#This Row],[Фасад 1 Высота]]</f>
        <v>717</v>
      </c>
      <c r="S220" s="76">
        <f>ТаблицаКорпус[[#This Row],[Ширина]]/2-3</f>
        <v>447</v>
      </c>
      <c r="T220" s="76"/>
      <c r="U220" s="76"/>
      <c r="V220" s="76"/>
      <c r="W220" s="76"/>
      <c r="X220" s="76"/>
    </row>
    <row r="221" spans="2:24" ht="154.15" customHeight="1">
      <c r="B221" s="94"/>
      <c r="C221" s="78"/>
      <c r="D221" s="79" t="s">
        <v>357</v>
      </c>
      <c r="E221" s="80">
        <v>720</v>
      </c>
      <c r="F221" s="80">
        <v>300</v>
      </c>
      <c r="G221" s="80">
        <v>300</v>
      </c>
      <c r="H221" s="80">
        <v>1</v>
      </c>
      <c r="I221" s="81">
        <f>(ТаблицаКорпус[[#This Row],[Высота]]*(ТаблицаКорпус[[#This Row],[Ширина]]+ТаблицаКорпус[[#This Row],[Глубина]])+ТаблицаКорпус[[#This Row],[Ширина]]*ТаблицаКорпус[[#This Row],[Глубина]]*(ТаблицаКорпус[[#This Row],[Кол-во полок]]+2))/1000000*$O$1</f>
        <v>2246.3999999999996</v>
      </c>
      <c r="J221" s="82">
        <v>0</v>
      </c>
      <c r="K221" s="83">
        <f>I221*J221</f>
        <v>0</v>
      </c>
      <c r="L221" s="84"/>
      <c r="M221" s="85" t="s">
        <v>360</v>
      </c>
      <c r="N221" s="86"/>
      <c r="O221" s="76">
        <v>0</v>
      </c>
      <c r="P221" s="76"/>
      <c r="Q221" s="76"/>
      <c r="R221" s="76">
        <f>ТаблицаКорпус[[#This Row],[Фасад 1 Высота]]</f>
        <v>0</v>
      </c>
      <c r="S221" s="76"/>
      <c r="T221" s="76">
        <f>ТаблицаКорпус[[#This Row],[Фасад 1 Высота]]</f>
        <v>0</v>
      </c>
      <c r="U221" s="76"/>
      <c r="V221" s="76">
        <f>ТаблицаКорпус[[#This Row],[Фасад 1 Высота]]</f>
        <v>0</v>
      </c>
      <c r="W221" s="76"/>
      <c r="X221" s="76"/>
    </row>
    <row r="222" spans="2:24" ht="154.15" customHeight="1">
      <c r="B222" s="94"/>
      <c r="C222" s="78"/>
      <c r="D222" s="79" t="s">
        <v>359</v>
      </c>
      <c r="E222" s="80">
        <v>720</v>
      </c>
      <c r="F222" s="80">
        <v>300</v>
      </c>
      <c r="G222" s="80">
        <v>300</v>
      </c>
      <c r="H222" s="80">
        <v>1</v>
      </c>
      <c r="I222" s="81">
        <f>(ТаблицаКорпус[[#This Row],[Высота]]*(ТаблицаКорпус[[#This Row],[Ширина]]+ТаблицаКорпус[[#This Row],[Глубина]])+ТаблицаКорпус[[#This Row],[Ширина]]*ТаблицаКорпус[[#This Row],[Глубина]]*(ТаблицаКорпус[[#This Row],[Кол-во полок]]+2))/1000000*$O$1</f>
        <v>2246.3999999999996</v>
      </c>
      <c r="J222" s="82">
        <v>0</v>
      </c>
      <c r="K222" s="83">
        <f>I222*J222</f>
        <v>0</v>
      </c>
      <c r="L222" s="84"/>
      <c r="M222" s="79" t="s">
        <v>361</v>
      </c>
      <c r="N222" s="95"/>
      <c r="O222" s="96" t="s">
        <v>476</v>
      </c>
      <c r="P222" s="76"/>
      <c r="Q222" s="76"/>
      <c r="R222" s="76">
        <f>ТаблицаКорпус[[#This Row],[Фасад 1 Высота]]</f>
        <v>0</v>
      </c>
      <c r="S222" s="76"/>
      <c r="T222" s="76">
        <f>ТаблицаКорпус[[#This Row],[Фасад 1 Высота]]</f>
        <v>0</v>
      </c>
      <c r="U222" s="76"/>
      <c r="V222" s="76">
        <f>ТаблицаКорпус[[#This Row],[Фасад 1 Высота]]</f>
        <v>0</v>
      </c>
      <c r="W222" s="76"/>
      <c r="X222" s="76"/>
    </row>
    <row r="223" spans="2:24" ht="154.15" customHeight="1">
      <c r="B223" s="94"/>
      <c r="C223" s="78"/>
      <c r="D223" s="79" t="s">
        <v>358</v>
      </c>
      <c r="E223" s="80">
        <v>720</v>
      </c>
      <c r="F223" s="80">
        <v>300</v>
      </c>
      <c r="G223" s="80">
        <v>300</v>
      </c>
      <c r="H223" s="80">
        <v>1</v>
      </c>
      <c r="I223" s="81">
        <f>(ТаблицаКорпус[[#This Row],[Высота]]*(ТаблицаКорпус[[#This Row],[Ширина]]+ТаблицаКорпус[[#This Row],[Глубина]])+ТаблицаКорпус[[#This Row],[Ширина]]*ТаблицаКорпус[[#This Row],[Глубина]]*(ТаблицаКорпус[[#This Row],[Кол-во полок]]+2))/1000000*$O$1</f>
        <v>2246.3999999999996</v>
      </c>
      <c r="J223" s="82">
        <v>0</v>
      </c>
      <c r="K223" s="83">
        <f>I223*J223</f>
        <v>0</v>
      </c>
      <c r="L223" s="84"/>
      <c r="M223" s="85" t="s">
        <v>362</v>
      </c>
      <c r="N223" s="86"/>
      <c r="O223" s="76">
        <v>0</v>
      </c>
      <c r="P223" s="76"/>
      <c r="Q223" s="76"/>
      <c r="R223" s="76">
        <f>ТаблицаКорпус[[#This Row],[Фасад 1 Высота]]</f>
        <v>0</v>
      </c>
      <c r="S223" s="76"/>
      <c r="T223" s="76">
        <f>ТаблицаКорпус[[#This Row],[Фасад 1 Высота]]</f>
        <v>0</v>
      </c>
      <c r="U223" s="76"/>
      <c r="V223" s="76">
        <f>ТаблицаКорпус[[#This Row],[Фасад 1 Высота]]</f>
        <v>0</v>
      </c>
      <c r="W223" s="76"/>
      <c r="X223" s="76"/>
    </row>
    <row r="225" spans="4:11">
      <c r="D225" s="99" t="s">
        <v>184</v>
      </c>
      <c r="E225" s="99"/>
      <c r="F225" s="100">
        <f>SUM(J174:J223)+SUM(J143:J172)+SUM(J113:J141)+SUM(J41:J111)+SUM(J4:J39)</f>
        <v>0</v>
      </c>
      <c r="I225" s="101" t="s">
        <v>176</v>
      </c>
      <c r="K225" s="102">
        <f>SUM(K174:K223)+SUM(K143:K172)+SUM(K113:K141)+SUM(K41:K111)+SUM(K4:K39)</f>
        <v>0</v>
      </c>
    </row>
  </sheetData>
  <phoneticPr fontId="1" type="noConversion"/>
  <dataValidations count="28">
    <dataValidation type="whole" allowBlank="1" showInputMessage="1" showErrorMessage="1" errorTitle="Неверное значение" error="Для данного типа секций разрешена ширина от 300 до 700мм" sqref="F14 F18:F20 F51:F53 F60:F62 F113:F141 F143:F172 F187:F188 F210:F212">
      <formula1>300</formula1>
      <formula2>700</formula2>
    </dataValidation>
    <dataValidation type="whole" allowBlank="1" showInputMessage="1" showErrorMessage="1" errorTitle="Неверное значение" error="Для данного типа секций разрешена ширина от 600 до 1200мм" sqref="F15:F16 F21:F23 F54:F56 F220 F4:F13 F41:F50">
      <formula1>600</formula1>
      <formula2>1200</formula2>
    </dataValidation>
    <dataValidation type="whole" allowBlank="1" showInputMessage="1" showErrorMessage="1" errorTitle="Неверное значение" error="Для данного типа секций разрешена ширина от 150 до 300мм" sqref="F58:F59 F17">
      <formula1>150</formula1>
      <formula2>300</formula2>
    </dataValidation>
    <dataValidation type="whole" operator="greaterThanOrEqual" allowBlank="1" showInputMessage="1" showErrorMessage="1" errorTitle="Отрицательное значение" error="Отрицательные значения не допускаются" sqref="J113:J141 J143:J172 J41:J111 J174:J223 J4:J39">
      <formula1>0</formula1>
    </dataValidation>
    <dataValidation type="whole" allowBlank="1" showInputMessage="1" showErrorMessage="1" errorTitle="Неверное значение" error="Для данного типа секций разрешена ширина от 300 до 1200мм" sqref="F57 F192:F197 F97 F63:F82 F221:F223 F106:F111 F178:F179 F213:F215 F95 F201:F209 F24:F39">
      <formula1>300</formula1>
      <formula2>1200</formula2>
    </dataValidation>
    <dataValidation type="whole" allowBlank="1" showInputMessage="1" showErrorMessage="1" errorTitle="Неверное значение" error="Для данного типа секций разрешена ширина от 800 до 1200мм" sqref="F189:F190 F199:F200">
      <formula1>800</formula1>
      <formula2>1200</formula2>
    </dataValidation>
    <dataValidation type="whole" operator="equal" allowBlank="1" showInputMessage="1" showErrorMessage="1" errorTitle="Запрещено изменение" error="Для этого типа секций запрещено изменение ширины" sqref="F183:F184">
      <formula1>600</formula1>
    </dataValidation>
    <dataValidation type="whole" allowBlank="1" showInputMessage="1" showErrorMessage="1" errorTitle="Запрещено изменение " error="Для данного типа секций разрешена ширина от 150 до 300мм" sqref="F103:F105">
      <formula1>150</formula1>
      <formula2>300</formula2>
    </dataValidation>
    <dataValidation type="whole" operator="equal" allowBlank="1" showInputMessage="1" showErrorMessage="1" errorTitle="Запрещено изменение" error="Для этого типа секций запрещено изменение ширины" sqref="F87:F90">
      <formula1>900</formula1>
    </dataValidation>
    <dataValidation type="whole" allowBlank="1" showInputMessage="1" showErrorMessage="1" errorTitle="Неправильное значение" error="Минимум 150мм, максимум 2770мм" sqref="E41:E111 E113:E141 E143:E172 E174:E223 E4:E39">
      <formula1>150</formula1>
      <formula2>2770</formula2>
    </dataValidation>
    <dataValidation type="whole" allowBlank="1" showInputMessage="1" showErrorMessage="1" errorTitle="Неправильное значение" error="Минимум 100мм, максимум 1200мм" sqref="G41:G82 G143:G172 G113:G141 G91:G111 G4:G39">
      <formula1>100</formula1>
      <formula2>1200</formula2>
    </dataValidation>
    <dataValidation type="whole" allowBlank="1" showInputMessage="1" showErrorMessage="1" errorTitle="Неверное значение" error="Для данного типа секций разрешена ширина от 150 до 1200мм" sqref="F185:F186 F91:F94">
      <formula1>150</formula1>
      <formula2>1200</formula2>
    </dataValidation>
    <dataValidation type="whole" allowBlank="1" showInputMessage="1" showErrorMessage="1" errorTitle="Запрещено изменение" error="Для данного типа секций разрешена ширина от 900 до 1200мм" sqref="F96 F83:F86">
      <formula1>900</formula1>
      <formula2>1200</formula2>
    </dataValidation>
    <dataValidation type="whole" allowBlank="1" showInputMessage="1" showErrorMessage="1" errorTitle="Неверное значение" error="Для данного типа секций разрешена ширина от 450 до 1200мм" sqref="F174:F177">
      <formula1>450</formula1>
      <formula2>1200</formula2>
    </dataValidation>
    <dataValidation type="whole" allowBlank="1" showInputMessage="1" showErrorMessage="1" errorTitle="Запрещено изменение" error="Для данного типа секций разрешена ширина от 600 до 900мм" sqref="F180:F182">
      <formula1>600</formula1>
      <formula2>900</formula2>
    </dataValidation>
    <dataValidation type="whole" allowBlank="1" showInputMessage="1" showErrorMessage="1" errorTitle="Неверное значение" error="Для данного типа секций разрешена ширина от 400 до 1200мм" sqref="F219 F198 F191">
      <formula1>400</formula1>
      <formula2>1200</formula2>
    </dataValidation>
    <dataValidation type="whole" allowBlank="1" showInputMessage="1" showErrorMessage="1" errorTitle="Запрещено изменение " error="Для данного типа секций разрешена ширина от 300 до 600мм" sqref="F216">
      <formula1>300</formula1>
      <formula2>600</formula2>
    </dataValidation>
    <dataValidation type="whole" allowBlank="1" showInputMessage="1" showErrorMessage="1" errorTitle="Неправильное значение" error="Для данного типа секций разрешена ширина от 300 до 600мм" sqref="G216">
      <formula1>300</formula1>
      <formula2>600</formula2>
    </dataValidation>
    <dataValidation type="whole" allowBlank="1" showInputMessage="1" showErrorMessage="1" errorTitle="Неправильное значение" error="Минимум 100мм, максимум 1200мм" sqref="G219:G223 G174:G179 G185:G215">
      <formula1>100</formula1>
      <formula2>2030</formula2>
    </dataValidation>
    <dataValidation type="whole" allowBlank="1" showInputMessage="1" showErrorMessage="1" errorTitle="Неправильное значение" error="Минимум 900мм, максимум 1200мм" sqref="G83:G86">
      <formula1>900</formula1>
      <formula2>1200</formula2>
    </dataValidation>
    <dataValidation type="whole" operator="equal" allowBlank="1" showInputMessage="1" showErrorMessage="1" errorTitle="Неправильное значение" error="Для этого типа секций запрещено изменение глубины" sqref="G87:G90">
      <formula1>900</formula1>
    </dataValidation>
    <dataValidation type="whole" operator="equal" allowBlank="1" showInputMessage="1" showErrorMessage="1" errorTitle="Запрещено изменение " error="Для этого типа секций запрещено изменение ширины" sqref="F98">
      <formula1>150</formula1>
    </dataValidation>
    <dataValidation type="whole" allowBlank="1" showInputMessage="1" showErrorMessage="1" errorTitle="Запрещено изменение " error="Для этого типа секций запрещено изменение ширины" sqref="F99:F102">
      <formula1>300</formula1>
      <formula2>450</formula2>
    </dataValidation>
    <dataValidation type="whole" allowBlank="1" showInputMessage="1" showErrorMessage="1" errorTitle="Неправильное значение" error="Минимум 600мм, максимум 900мм" sqref="G180:G182">
      <formula1>600</formula1>
      <formula2>900</formula2>
    </dataValidation>
    <dataValidation type="whole" operator="equal" allowBlank="1" showInputMessage="1" showErrorMessage="1" errorTitle="Неправильное значение" error="Для этого типа секций запрещено изменение глубины" sqref="G183:G184">
      <formula1>600</formula1>
    </dataValidation>
    <dataValidation type="whole" operator="equal" allowBlank="1" showInputMessage="1" showErrorMessage="1" errorTitle="Неправильное значение" error="Для этого типа секций запрещено изменение глубины" sqref="G217:G218">
      <formula1>300</formula1>
    </dataValidation>
    <dataValidation type="whole" operator="equal" allowBlank="1" showInputMessage="1" showErrorMessage="1" errorTitle="Запрещено изменение " error="Для этого типа секций запрещено изменение ширины" sqref="F217:F218">
      <formula1>300</formula1>
    </dataValidation>
    <dataValidation type="whole" operator="greaterThanOrEqual" allowBlank="1" showInputMessage="1" showErrorMessage="1" error="Значение не может быть отрицательным" sqref="H4:H223">
      <formula1>0</formula1>
    </dataValidation>
  </dataValidations>
  <pageMargins left="0.7" right="0.7" top="0.75" bottom="0.75" header="0.3" footer="0.3"/>
  <pageSetup paperSize="9" scale="44" fitToHeight="0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'Отчет по корпусам'!$M$2:$M$4</xm:f>
          </x14:formula1>
          <xm:sqref>Z1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R12"/>
  <sheetViews>
    <sheetView workbookViewId="0">
      <selection sqref="A1:H3"/>
    </sheetView>
  </sheetViews>
  <sheetFormatPr defaultRowHeight="15"/>
  <cols>
    <col min="1" max="1" width="15.28515625" style="109" customWidth="1"/>
    <col min="2" max="2" width="15.7109375" style="109" customWidth="1"/>
    <col min="3" max="3" width="14.140625" style="109" customWidth="1"/>
    <col min="4" max="4" width="14.42578125" style="109" customWidth="1"/>
    <col min="5" max="5" width="15.42578125" style="109" customWidth="1"/>
    <col min="6" max="6" width="13.85546875" style="109" customWidth="1"/>
    <col min="7" max="7" width="15.85546875" style="113" customWidth="1"/>
    <col min="8" max="8" width="26" style="113" customWidth="1"/>
    <col min="9" max="9" width="18.28515625" style="113" customWidth="1"/>
    <col min="10" max="10" width="17.5703125" style="113" bestFit="1" customWidth="1"/>
    <col min="11" max="11" width="18.42578125" style="113" bestFit="1" customWidth="1"/>
    <col min="12" max="12" width="17.7109375" style="113" bestFit="1" customWidth="1"/>
    <col min="13" max="13" width="18.42578125" style="113" hidden="1" customWidth="1"/>
    <col min="14" max="14" width="17.5703125" style="113" hidden="1" customWidth="1"/>
    <col min="15" max="15" width="18.42578125" style="113" bestFit="1" customWidth="1"/>
    <col min="16" max="16" width="17.5703125" style="113" bestFit="1" customWidth="1"/>
    <col min="17" max="17" width="18.42578125" style="113" bestFit="1" customWidth="1"/>
    <col min="18" max="18" width="15" style="113" bestFit="1" customWidth="1"/>
    <col min="19" max="16384" width="9.140625" style="110"/>
  </cols>
  <sheetData>
    <row r="1" spans="1:18" ht="18">
      <c r="A1" s="106" t="s">
        <v>177</v>
      </c>
      <c r="B1" s="106" t="s">
        <v>0</v>
      </c>
      <c r="C1" s="106" t="s">
        <v>1</v>
      </c>
      <c r="D1" s="106" t="s">
        <v>2</v>
      </c>
      <c r="E1" s="106" t="s">
        <v>3</v>
      </c>
      <c r="F1" s="106" t="s">
        <v>33</v>
      </c>
      <c r="G1" s="107" t="s">
        <v>31</v>
      </c>
      <c r="H1" s="107" t="s">
        <v>363</v>
      </c>
      <c r="I1" s="203" t="s">
        <v>518</v>
      </c>
      <c r="J1" s="203"/>
      <c r="K1" s="203"/>
      <c r="L1" s="108">
        <f>Калькулятор!F225*450</f>
        <v>0</v>
      </c>
      <c r="M1" s="109" t="s">
        <v>498</v>
      </c>
      <c r="N1" s="109" t="s">
        <v>499</v>
      </c>
      <c r="O1" s="110"/>
      <c r="P1" s="110"/>
      <c r="Q1" s="110"/>
      <c r="R1" s="110"/>
    </row>
    <row r="2" spans="1:18" ht="18">
      <c r="A2" s="111"/>
      <c r="B2" s="106"/>
      <c r="C2" s="106"/>
      <c r="D2" s="106"/>
      <c r="E2" s="106"/>
      <c r="F2" s="106"/>
      <c r="G2" s="112"/>
      <c r="H2" s="111"/>
      <c r="I2" s="110"/>
      <c r="M2" s="109" t="s">
        <v>495</v>
      </c>
      <c r="N2" s="109">
        <v>3200</v>
      </c>
      <c r="O2" s="110"/>
      <c r="P2" s="110"/>
      <c r="Q2" s="110"/>
      <c r="R2" s="110"/>
    </row>
    <row r="3" spans="1:18" ht="18">
      <c r="A3" s="111"/>
      <c r="B3" s="106"/>
      <c r="C3" s="106"/>
      <c r="D3" s="106"/>
      <c r="E3" s="106"/>
      <c r="F3" s="194">
        <f>SUM(F2:F2)</f>
        <v>0</v>
      </c>
      <c r="G3" s="112">
        <f>SUM(G2:G2)</f>
        <v>0</v>
      </c>
      <c r="H3" s="111" t="s">
        <v>596</v>
      </c>
      <c r="I3" s="110"/>
      <c r="K3" s="110"/>
      <c r="M3" s="109" t="s">
        <v>496</v>
      </c>
      <c r="N3" s="109">
        <v>4100</v>
      </c>
      <c r="O3" s="110"/>
      <c r="P3" s="110"/>
      <c r="Q3" s="110"/>
      <c r="R3" s="110"/>
    </row>
    <row r="4" spans="1:18">
      <c r="M4" s="109" t="s">
        <v>497</v>
      </c>
      <c r="N4" s="109">
        <v>5300</v>
      </c>
    </row>
    <row r="9" spans="1:18">
      <c r="J9" s="110" t="s">
        <v>369</v>
      </c>
    </row>
    <row r="10" spans="1:18">
      <c r="J10" s="110" t="s">
        <v>364</v>
      </c>
    </row>
    <row r="11" spans="1:18">
      <c r="J11" s="110" t="s">
        <v>365</v>
      </c>
    </row>
    <row r="12" spans="1:18">
      <c r="J12" s="110" t="s">
        <v>370</v>
      </c>
    </row>
  </sheetData>
  <mergeCells count="1">
    <mergeCell ref="I1:K1"/>
  </mergeCells>
  <phoneticPr fontId="1" type="noConversion"/>
  <dataValidations count="1">
    <dataValidation type="list" allowBlank="1" showInputMessage="1" showErrorMessage="1" sqref="K2">
      <formula1>$M$2:$M$4</formula1>
    </dataValidation>
  </dataValidations>
  <pageMargins left="0.25" right="0.25" top="0.75" bottom="0.75" header="0.3" footer="0.3"/>
  <pageSetup paperSize="8" orientation="portrait" horizontalDpi="300" verticalDpi="3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R3"/>
  <sheetViews>
    <sheetView zoomScaleNormal="100" workbookViewId="0">
      <selection sqref="A1:L3"/>
    </sheetView>
  </sheetViews>
  <sheetFormatPr defaultRowHeight="14.25"/>
  <cols>
    <col min="1" max="1" width="15.7109375" style="47" bestFit="1" customWidth="1"/>
    <col min="2" max="2" width="13.85546875" style="47" bestFit="1" customWidth="1"/>
    <col min="3" max="3" width="7.7109375" style="47" bestFit="1" customWidth="1"/>
    <col min="4" max="4" width="7.28515625" style="47" bestFit="1" customWidth="1"/>
    <col min="5" max="5" width="7.42578125" style="47" bestFit="1" customWidth="1"/>
    <col min="6" max="6" width="7.85546875" style="47" bestFit="1" customWidth="1"/>
    <col min="7" max="7" width="8" style="47" bestFit="1" customWidth="1"/>
    <col min="8" max="8" width="7.7109375" style="47" bestFit="1" customWidth="1"/>
    <col min="9" max="9" width="7.85546875" style="47" bestFit="1" customWidth="1"/>
    <col min="10" max="10" width="8" style="47" bestFit="1" customWidth="1"/>
    <col min="11" max="11" width="8.140625" style="47" bestFit="1" customWidth="1"/>
    <col min="12" max="12" width="6.140625" style="47" bestFit="1" customWidth="1"/>
    <col min="13" max="13" width="14.5703125" style="47" customWidth="1"/>
    <col min="14" max="14" width="9.5703125" style="47" bestFit="1" customWidth="1"/>
    <col min="15" max="15" width="15.28515625" style="47" customWidth="1"/>
    <col min="16" max="16" width="13.5703125" style="47" bestFit="1" customWidth="1"/>
    <col min="17" max="17" width="17.5703125" style="47" hidden="1" customWidth="1"/>
    <col min="18" max="18" width="18.42578125" style="47" hidden="1" customWidth="1"/>
    <col min="19" max="19" width="17.5703125" style="47" bestFit="1" customWidth="1"/>
    <col min="20" max="20" width="18.42578125" style="47" bestFit="1" customWidth="1"/>
    <col min="21" max="21" width="17.5703125" style="47" bestFit="1" customWidth="1"/>
    <col min="22" max="22" width="18.42578125" style="47" bestFit="1" customWidth="1"/>
    <col min="23" max="23" width="17.5703125" style="47" bestFit="1" customWidth="1"/>
    <col min="24" max="24" width="18.42578125" style="47" bestFit="1" customWidth="1"/>
    <col min="25" max="25" width="13.5703125" style="47" bestFit="1" customWidth="1"/>
    <col min="26" max="28" width="13.85546875" style="47" bestFit="1" customWidth="1"/>
    <col min="29" max="29" width="14" style="47" customWidth="1"/>
    <col min="30" max="30" width="20.42578125" style="47" bestFit="1" customWidth="1"/>
    <col min="31" max="31" width="15" style="47" bestFit="1" customWidth="1"/>
    <col min="32" max="33" width="9.140625" style="47"/>
    <col min="34" max="34" width="9.140625" style="47" customWidth="1"/>
    <col min="35" max="16384" width="9.140625" style="47"/>
  </cols>
  <sheetData>
    <row r="1" spans="1:18" ht="18.75" thickBot="1">
      <c r="A1" s="114" t="s">
        <v>0</v>
      </c>
      <c r="B1" s="115" t="s">
        <v>33</v>
      </c>
      <c r="C1" s="114" t="s">
        <v>494</v>
      </c>
      <c r="D1" s="114" t="s">
        <v>485</v>
      </c>
      <c r="E1" s="114" t="s">
        <v>492</v>
      </c>
      <c r="F1" s="114" t="s">
        <v>486</v>
      </c>
      <c r="G1" s="114" t="s">
        <v>487</v>
      </c>
      <c r="H1" s="114" t="s">
        <v>488</v>
      </c>
      <c r="I1" s="114" t="s">
        <v>489</v>
      </c>
      <c r="J1" s="114" t="s">
        <v>490</v>
      </c>
      <c r="K1" s="114" t="s">
        <v>491</v>
      </c>
      <c r="L1" s="114" t="s">
        <v>493</v>
      </c>
    </row>
    <row r="2" spans="1:18" ht="18.75" thickBot="1">
      <c r="A2" s="116"/>
      <c r="B2" s="106"/>
      <c r="C2" s="116"/>
      <c r="D2" s="116"/>
      <c r="E2" s="116"/>
      <c r="F2" s="116"/>
      <c r="G2" s="116"/>
      <c r="H2" s="116"/>
      <c r="I2" s="116"/>
      <c r="J2" s="116"/>
      <c r="K2" s="116"/>
      <c r="L2" s="116"/>
      <c r="N2" s="48" t="s">
        <v>502</v>
      </c>
      <c r="O2" s="201">
        <f>Калькулятор!Z2*ТаблицаКорпус_22[[#Totals],[м2]]+(Калькулятор!Z3*ТаблицаКорпус_22[[#Totals],[R]])</f>
        <v>0</v>
      </c>
      <c r="Q2" s="49" t="s">
        <v>501</v>
      </c>
      <c r="R2" s="50">
        <v>85</v>
      </c>
    </row>
    <row r="3" spans="1:18" ht="19.5" thickBot="1">
      <c r="A3" s="116"/>
      <c r="B3" s="106">
        <f>SUM(B2:B2)</f>
        <v>0</v>
      </c>
      <c r="C3" s="116">
        <f>SUBTOTAL(109,ТаблицаКорпус_22[м2])</f>
        <v>0</v>
      </c>
      <c r="D3" s="116"/>
      <c r="E3" s="116"/>
      <c r="F3" s="116"/>
      <c r="G3" s="116"/>
      <c r="H3" s="116"/>
      <c r="I3" s="116"/>
      <c r="J3" s="116"/>
      <c r="K3" s="116"/>
      <c r="L3" s="116">
        <f>SUBTOTAL(103,ТаблицаКорпус_22[R])</f>
        <v>0</v>
      </c>
      <c r="O3" s="202">
        <f>O2*'Общий отчёт'!I2</f>
        <v>0</v>
      </c>
      <c r="P3" s="196" t="s">
        <v>596</v>
      </c>
      <c r="Q3" s="49" t="s">
        <v>500</v>
      </c>
      <c r="R3" s="50">
        <v>75</v>
      </c>
    </row>
  </sheetData>
  <phoneticPr fontId="1" type="noConversion"/>
  <pageMargins left="0.25" right="0.25" top="0.75" bottom="0.75" header="0.3" footer="0.3"/>
  <pageSetup paperSize="9" fitToWidth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8"/>
  <sheetViews>
    <sheetView topLeftCell="A25" workbookViewId="0">
      <selection activeCell="E48" sqref="E48"/>
    </sheetView>
  </sheetViews>
  <sheetFormatPr defaultRowHeight="18"/>
  <cols>
    <col min="1" max="1" width="57.5703125" style="46" customWidth="1"/>
    <col min="2" max="2" width="9.42578125" style="116" bestFit="1" customWidth="1"/>
    <col min="3" max="3" width="17.7109375" style="116" customWidth="1"/>
    <col min="4" max="4" width="19.28515625" style="132" customWidth="1"/>
    <col min="5" max="5" width="68.140625" style="110" bestFit="1" customWidth="1"/>
    <col min="6" max="6" width="0.28515625" style="116" hidden="1" customWidth="1"/>
    <col min="7" max="10" width="9.140625" style="116" hidden="1" customWidth="1"/>
    <col min="11" max="21" width="9.140625" style="133"/>
    <col min="22" max="16384" width="9.140625" style="116"/>
  </cols>
  <sheetData>
    <row r="2" spans="1:21" ht="18.75" thickBot="1">
      <c r="C2" s="118" t="s">
        <v>507</v>
      </c>
      <c r="D2" s="119">
        <v>100</v>
      </c>
    </row>
    <row r="3" spans="1:21" ht="18.75" thickBot="1">
      <c r="A3" s="204" t="s">
        <v>548</v>
      </c>
      <c r="B3" s="205"/>
      <c r="C3" s="205"/>
      <c r="D3" s="205"/>
      <c r="E3" s="206"/>
    </row>
    <row r="4" spans="1:21">
      <c r="A4" s="207" t="s">
        <v>544</v>
      </c>
      <c r="B4" s="208"/>
      <c r="C4" s="208"/>
      <c r="D4" s="208"/>
      <c r="E4" s="209"/>
    </row>
    <row r="5" spans="1:21">
      <c r="A5" s="120" t="s">
        <v>550</v>
      </c>
      <c r="B5" s="121">
        <v>0</v>
      </c>
      <c r="C5" s="122">
        <f>(5.03+1.07)*D2*1.2</f>
        <v>732</v>
      </c>
      <c r="D5" s="175">
        <f xml:space="preserve"> ROUNDUP(B5*C5,2)</f>
        <v>0</v>
      </c>
      <c r="E5" s="124" t="s">
        <v>551</v>
      </c>
    </row>
    <row r="6" spans="1:21" s="117" customFormat="1">
      <c r="A6" s="125" t="s">
        <v>574</v>
      </c>
      <c r="B6" s="126">
        <v>0</v>
      </c>
      <c r="C6" s="127">
        <f>93.1*D2*1.2</f>
        <v>11172</v>
      </c>
      <c r="D6" s="175">
        <f t="shared" ref="D6:D43" si="0" xml:space="preserve"> ROUNDUP(B6*C6,2)</f>
        <v>0</v>
      </c>
      <c r="E6" s="128" t="s">
        <v>573</v>
      </c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</row>
    <row r="7" spans="1:21">
      <c r="A7" s="120" t="s">
        <v>545</v>
      </c>
      <c r="B7" s="121">
        <v>0</v>
      </c>
      <c r="C7" s="127">
        <f>18.5*D2</f>
        <v>1850</v>
      </c>
      <c r="D7" s="175">
        <f t="shared" si="0"/>
        <v>0</v>
      </c>
      <c r="E7" s="124" t="s">
        <v>546</v>
      </c>
    </row>
    <row r="8" spans="1:21" s="117" customFormat="1">
      <c r="A8" s="125" t="s">
        <v>555</v>
      </c>
      <c r="B8" s="126">
        <v>0</v>
      </c>
      <c r="C8" s="127">
        <f>5500-1.15</f>
        <v>5498.85</v>
      </c>
      <c r="D8" s="175">
        <f t="shared" si="0"/>
        <v>0</v>
      </c>
      <c r="E8" s="128" t="s">
        <v>556</v>
      </c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</row>
    <row r="9" spans="1:21">
      <c r="A9" s="120" t="s">
        <v>547</v>
      </c>
      <c r="B9" s="121">
        <v>0</v>
      </c>
      <c r="C9" s="127">
        <f>1.85*D2</f>
        <v>185</v>
      </c>
      <c r="D9" s="175">
        <f t="shared" si="0"/>
        <v>0</v>
      </c>
      <c r="E9" s="124"/>
    </row>
    <row r="10" spans="1:21" s="117" customFormat="1">
      <c r="A10" s="125"/>
      <c r="B10" s="126">
        <v>0</v>
      </c>
      <c r="C10" s="127">
        <f>0*D2</f>
        <v>0</v>
      </c>
      <c r="D10" s="127">
        <f t="shared" si="0"/>
        <v>0</v>
      </c>
      <c r="E10" s="128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</row>
    <row r="11" spans="1:21">
      <c r="A11" s="120"/>
      <c r="B11" s="121">
        <v>0</v>
      </c>
      <c r="C11" s="127">
        <f>0*D2</f>
        <v>0</v>
      </c>
      <c r="D11" s="123">
        <f t="shared" si="0"/>
        <v>0</v>
      </c>
      <c r="E11" s="124"/>
    </row>
    <row r="12" spans="1:21" s="117" customFormat="1">
      <c r="A12" s="125" t="s">
        <v>552</v>
      </c>
      <c r="B12" s="126">
        <v>0</v>
      </c>
      <c r="C12" s="127">
        <f>3500-1.15</f>
        <v>3498.85</v>
      </c>
      <c r="D12" s="175">
        <f t="shared" si="0"/>
        <v>0</v>
      </c>
      <c r="E12" s="128" t="s">
        <v>553</v>
      </c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>
      <c r="A13" s="120" t="s">
        <v>554</v>
      </c>
      <c r="B13" s="121">
        <v>0</v>
      </c>
      <c r="C13" s="127">
        <f>2600-1.15</f>
        <v>2598.85</v>
      </c>
      <c r="D13" s="175">
        <f t="shared" si="0"/>
        <v>0</v>
      </c>
      <c r="E13" s="124" t="s">
        <v>553</v>
      </c>
    </row>
    <row r="14" spans="1:21" s="117" customFormat="1">
      <c r="A14" s="125" t="s">
        <v>579</v>
      </c>
      <c r="B14" s="126">
        <v>0</v>
      </c>
      <c r="C14" s="127">
        <f>63.47*D2</f>
        <v>6347</v>
      </c>
      <c r="D14" s="175">
        <f t="shared" si="0"/>
        <v>0</v>
      </c>
      <c r="E14" s="128" t="s">
        <v>577</v>
      </c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</row>
    <row r="15" spans="1:21">
      <c r="A15" s="120" t="s">
        <v>508</v>
      </c>
      <c r="B15" s="121">
        <v>0</v>
      </c>
      <c r="C15" s="127">
        <f>1.1*D2*1.2</f>
        <v>132</v>
      </c>
      <c r="D15" s="175">
        <f t="shared" si="0"/>
        <v>0</v>
      </c>
      <c r="E15" s="124"/>
    </row>
    <row r="16" spans="1:21" s="117" customFormat="1">
      <c r="A16" s="125" t="s">
        <v>581</v>
      </c>
      <c r="B16" s="126">
        <v>0</v>
      </c>
      <c r="C16" s="127">
        <f>(6.16+0.48)*D2*1.2</f>
        <v>796.8</v>
      </c>
      <c r="D16" s="175">
        <f t="shared" si="0"/>
        <v>0</v>
      </c>
      <c r="E16" s="128" t="s">
        <v>582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</row>
    <row r="17" spans="1:21">
      <c r="A17" s="129" t="s">
        <v>589</v>
      </c>
      <c r="B17" s="121">
        <v>0</v>
      </c>
      <c r="C17" s="122">
        <f>32*D2-1.15</f>
        <v>3198.85</v>
      </c>
      <c r="D17" s="175">
        <f t="shared" si="0"/>
        <v>0</v>
      </c>
      <c r="E17" s="124"/>
    </row>
    <row r="18" spans="1:21" s="117" customFormat="1">
      <c r="A18" s="176" t="s">
        <v>590</v>
      </c>
      <c r="B18" s="126">
        <v>0</v>
      </c>
      <c r="C18" s="127">
        <f>(27+2.06+2.06)*D2</f>
        <v>3111.9999999999995</v>
      </c>
      <c r="D18" s="175">
        <f xml:space="preserve"> ROUNDUP(B18*C18,2)</f>
        <v>0</v>
      </c>
      <c r="E18" s="128" t="s">
        <v>577</v>
      </c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</row>
    <row r="19" spans="1:21">
      <c r="A19" s="120" t="s">
        <v>591</v>
      </c>
      <c r="B19" s="121">
        <v>0</v>
      </c>
      <c r="C19" s="122">
        <f>24*D2</f>
        <v>2400</v>
      </c>
      <c r="D19" s="175">
        <f t="shared" si="0"/>
        <v>0</v>
      </c>
      <c r="E19" s="130" t="s">
        <v>578</v>
      </c>
    </row>
    <row r="20" spans="1:21" s="117" customFormat="1">
      <c r="A20" s="125" t="s">
        <v>592</v>
      </c>
      <c r="B20" s="126">
        <v>0</v>
      </c>
      <c r="C20" s="127">
        <f>45*D2</f>
        <v>4500</v>
      </c>
      <c r="D20" s="175">
        <f t="shared" si="0"/>
        <v>0</v>
      </c>
      <c r="E20" s="128" t="s">
        <v>577</v>
      </c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1">
      <c r="A21" s="120" t="s">
        <v>593</v>
      </c>
      <c r="B21" s="121">
        <v>0</v>
      </c>
      <c r="C21" s="122">
        <f>40*D2</f>
        <v>4000</v>
      </c>
      <c r="D21" s="175">
        <f t="shared" si="0"/>
        <v>0</v>
      </c>
      <c r="E21" s="124" t="s">
        <v>577</v>
      </c>
    </row>
    <row r="22" spans="1:21" s="117" customFormat="1">
      <c r="A22" s="125" t="s">
        <v>563</v>
      </c>
      <c r="B22" s="126">
        <v>0</v>
      </c>
      <c r="C22" s="127">
        <f>165.5*D2*1.2</f>
        <v>19860</v>
      </c>
      <c r="D22" s="175">
        <f t="shared" si="0"/>
        <v>0</v>
      </c>
      <c r="E22" s="128" t="s">
        <v>509</v>
      </c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</row>
    <row r="23" spans="1:21">
      <c r="A23" s="120" t="s">
        <v>564</v>
      </c>
      <c r="B23" s="121">
        <v>0</v>
      </c>
      <c r="C23" s="122">
        <f>159.4*D2*1.2</f>
        <v>19128</v>
      </c>
      <c r="D23" s="175">
        <f t="shared" si="0"/>
        <v>0</v>
      </c>
      <c r="E23" s="124" t="s">
        <v>510</v>
      </c>
    </row>
    <row r="24" spans="1:21" s="117" customFormat="1">
      <c r="A24" s="125" t="s">
        <v>565</v>
      </c>
      <c r="B24" s="126">
        <v>0</v>
      </c>
      <c r="C24" s="127">
        <f>185.6*D2*1.2</f>
        <v>22272</v>
      </c>
      <c r="D24" s="175">
        <f t="shared" si="0"/>
        <v>0</v>
      </c>
      <c r="E24" s="128" t="s">
        <v>511</v>
      </c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</row>
    <row r="25" spans="1:21">
      <c r="A25" s="120" t="s">
        <v>567</v>
      </c>
      <c r="B25" s="121">
        <v>0</v>
      </c>
      <c r="C25" s="122">
        <f>85.3*D2*1.2</f>
        <v>10236</v>
      </c>
      <c r="D25" s="175">
        <f t="shared" si="0"/>
        <v>0</v>
      </c>
      <c r="E25" s="124" t="s">
        <v>512</v>
      </c>
    </row>
    <row r="26" spans="1:21" s="117" customFormat="1">
      <c r="A26" s="125" t="s">
        <v>568</v>
      </c>
      <c r="B26" s="126">
        <v>0</v>
      </c>
      <c r="C26" s="127">
        <f>101*D2*1.2</f>
        <v>12120</v>
      </c>
      <c r="D26" s="175">
        <f t="shared" si="0"/>
        <v>0</v>
      </c>
      <c r="E26" s="128" t="s">
        <v>512</v>
      </c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</row>
    <row r="27" spans="1:21">
      <c r="A27" s="120" t="s">
        <v>569</v>
      </c>
      <c r="B27" s="121">
        <v>0</v>
      </c>
      <c r="C27" s="122">
        <f>41.5*D2*1.2</f>
        <v>4980</v>
      </c>
      <c r="D27" s="175">
        <f t="shared" si="0"/>
        <v>0</v>
      </c>
      <c r="E27" s="124" t="s">
        <v>511</v>
      </c>
    </row>
    <row r="28" spans="1:21" s="117" customFormat="1">
      <c r="A28" s="125" t="s">
        <v>570</v>
      </c>
      <c r="B28" s="126">
        <v>0</v>
      </c>
      <c r="C28" s="127">
        <f>49.1*D2*1.2</f>
        <v>5892</v>
      </c>
      <c r="D28" s="175">
        <f t="shared" si="0"/>
        <v>0</v>
      </c>
      <c r="E28" s="128" t="s">
        <v>511</v>
      </c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</row>
    <row r="29" spans="1:21">
      <c r="A29" s="120" t="s">
        <v>571</v>
      </c>
      <c r="B29" s="121">
        <v>0</v>
      </c>
      <c r="C29" s="122">
        <f>43.4*D2*1.2</f>
        <v>5208</v>
      </c>
      <c r="D29" s="175">
        <f t="shared" si="0"/>
        <v>0</v>
      </c>
      <c r="E29" s="124" t="s">
        <v>512</v>
      </c>
    </row>
    <row r="30" spans="1:21" s="117" customFormat="1">
      <c r="A30" s="125" t="s">
        <v>572</v>
      </c>
      <c r="B30" s="126">
        <v>0</v>
      </c>
      <c r="C30" s="127">
        <f>49.7*D2*1.2</f>
        <v>5964</v>
      </c>
      <c r="D30" s="175">
        <f t="shared" si="0"/>
        <v>0</v>
      </c>
      <c r="E30" s="128" t="s">
        <v>513</v>
      </c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</row>
    <row r="31" spans="1:21">
      <c r="A31" s="120" t="s">
        <v>561</v>
      </c>
      <c r="B31" s="121">
        <v>0</v>
      </c>
      <c r="C31" s="122">
        <f>46.1*D2*1.2</f>
        <v>5532</v>
      </c>
      <c r="D31" s="175">
        <f t="shared" si="0"/>
        <v>0</v>
      </c>
      <c r="E31" s="124" t="s">
        <v>514</v>
      </c>
    </row>
    <row r="32" spans="1:21" s="117" customFormat="1">
      <c r="A32" s="125" t="s">
        <v>560</v>
      </c>
      <c r="B32" s="126">
        <v>0</v>
      </c>
      <c r="C32" s="127">
        <f>60.5*D2*1.2</f>
        <v>7260</v>
      </c>
      <c r="D32" s="175">
        <f t="shared" si="0"/>
        <v>0</v>
      </c>
      <c r="E32" s="128" t="s">
        <v>514</v>
      </c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</row>
    <row r="33" spans="1:21">
      <c r="A33" s="120" t="s">
        <v>559</v>
      </c>
      <c r="B33" s="121">
        <v>0</v>
      </c>
      <c r="C33" s="122">
        <f>73.3*D2*1.2</f>
        <v>8796</v>
      </c>
      <c r="D33" s="175">
        <f t="shared" si="0"/>
        <v>0</v>
      </c>
      <c r="E33" s="124" t="s">
        <v>514</v>
      </c>
    </row>
    <row r="34" spans="1:21" s="117" customFormat="1">
      <c r="A34" s="125" t="s">
        <v>558</v>
      </c>
      <c r="B34" s="126">
        <v>0</v>
      </c>
      <c r="C34" s="127">
        <f>73.3*D2*1.2</f>
        <v>8796</v>
      </c>
      <c r="D34" s="175">
        <f t="shared" si="0"/>
        <v>0</v>
      </c>
      <c r="E34" s="128" t="s">
        <v>514</v>
      </c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</row>
    <row r="35" spans="1:21">
      <c r="A35" s="120" t="s">
        <v>557</v>
      </c>
      <c r="B35" s="121">
        <v>0</v>
      </c>
      <c r="C35" s="122">
        <f>71.5*D2*1.2</f>
        <v>8580</v>
      </c>
      <c r="D35" s="175">
        <f t="shared" si="0"/>
        <v>0</v>
      </c>
      <c r="E35" s="124" t="s">
        <v>514</v>
      </c>
    </row>
    <row r="36" spans="1:21" s="117" customFormat="1">
      <c r="A36" s="125" t="s">
        <v>583</v>
      </c>
      <c r="B36" s="126">
        <v>0</v>
      </c>
      <c r="C36" s="122">
        <f>86.7*D2*1.2</f>
        <v>10404</v>
      </c>
      <c r="D36" s="175">
        <f t="shared" si="0"/>
        <v>0</v>
      </c>
      <c r="E36" s="128" t="s">
        <v>514</v>
      </c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</row>
    <row r="37" spans="1:21">
      <c r="A37" s="120" t="s">
        <v>584</v>
      </c>
      <c r="B37" s="121">
        <v>0</v>
      </c>
      <c r="C37" s="122">
        <f>64.3*D2*1.2</f>
        <v>7716</v>
      </c>
      <c r="D37" s="175">
        <f t="shared" si="0"/>
        <v>0</v>
      </c>
      <c r="E37" s="124" t="s">
        <v>514</v>
      </c>
    </row>
    <row r="38" spans="1:21" s="117" customFormat="1">
      <c r="A38" s="125" t="s">
        <v>586</v>
      </c>
      <c r="B38" s="126">
        <v>0</v>
      </c>
      <c r="C38" s="127">
        <f>80.7*D2*1.2</f>
        <v>9684</v>
      </c>
      <c r="D38" s="175">
        <f t="shared" si="0"/>
        <v>0</v>
      </c>
      <c r="E38" s="128" t="s">
        <v>514</v>
      </c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</row>
    <row r="39" spans="1:21">
      <c r="A39" s="120" t="s">
        <v>585</v>
      </c>
      <c r="B39" s="121">
        <v>0</v>
      </c>
      <c r="C39" s="122">
        <f>91.8*D2*1.2</f>
        <v>11016</v>
      </c>
      <c r="D39" s="175">
        <f t="shared" si="0"/>
        <v>0</v>
      </c>
      <c r="E39" s="124" t="s">
        <v>514</v>
      </c>
    </row>
    <row r="40" spans="1:21" s="117" customFormat="1">
      <c r="A40" s="125" t="s">
        <v>587</v>
      </c>
      <c r="B40" s="126">
        <v>0</v>
      </c>
      <c r="C40" s="127">
        <f>97.9*D2*1.2</f>
        <v>11748</v>
      </c>
      <c r="D40" s="175">
        <f xml:space="preserve"> ROUNDUP(B40*C40,2)</f>
        <v>0</v>
      </c>
      <c r="E40" s="128" t="s">
        <v>514</v>
      </c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</row>
    <row r="41" spans="1:21">
      <c r="A41" s="120" t="s">
        <v>562</v>
      </c>
      <c r="B41" s="121">
        <v>0</v>
      </c>
      <c r="C41" s="122">
        <f>97.7*D2*1.2</f>
        <v>11724</v>
      </c>
      <c r="D41" s="175">
        <f t="shared" si="0"/>
        <v>0</v>
      </c>
      <c r="E41" s="124" t="s">
        <v>514</v>
      </c>
    </row>
    <row r="42" spans="1:21" s="117" customFormat="1">
      <c r="A42" s="125" t="s">
        <v>588</v>
      </c>
      <c r="B42" s="126">
        <v>0</v>
      </c>
      <c r="C42" s="127">
        <f>(29.94+1.38)*D2</f>
        <v>3132</v>
      </c>
      <c r="D42" s="175">
        <f t="shared" si="0"/>
        <v>0</v>
      </c>
      <c r="E42" s="128" t="s">
        <v>576</v>
      </c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</row>
    <row r="43" spans="1:21">
      <c r="A43" s="129" t="s">
        <v>515</v>
      </c>
      <c r="B43" s="121">
        <v>0</v>
      </c>
      <c r="C43" s="122">
        <v>60</v>
      </c>
      <c r="D43" s="175">
        <f t="shared" si="0"/>
        <v>0</v>
      </c>
      <c r="E43" s="124"/>
    </row>
    <row r="44" spans="1:21" s="117" customFormat="1">
      <c r="A44" s="125" t="s">
        <v>516</v>
      </c>
      <c r="B44" s="126">
        <v>0</v>
      </c>
      <c r="C44" s="127">
        <f>(0.94+0.54+0.14+0.14)*D2*1.2</f>
        <v>211.20000000000002</v>
      </c>
      <c r="D44" s="175">
        <f t="shared" ref="D44" si="1">B44*C44</f>
        <v>0</v>
      </c>
      <c r="E44" s="193" t="s">
        <v>594</v>
      </c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</row>
    <row r="45" spans="1:21">
      <c r="A45" s="120" t="s">
        <v>517</v>
      </c>
      <c r="B45" s="121">
        <v>0</v>
      </c>
      <c r="C45" s="122">
        <f>(1+0.3+0.26)*D2*1.2</f>
        <v>187.2</v>
      </c>
      <c r="D45" s="175">
        <f>B45*C45</f>
        <v>0</v>
      </c>
      <c r="E45" s="124"/>
    </row>
    <row r="46" spans="1:21" s="131" customFormat="1">
      <c r="A46" s="210" t="s">
        <v>502</v>
      </c>
      <c r="B46" s="211"/>
      <c r="C46" s="212"/>
      <c r="D46" s="189">
        <f>SUM(D5:D45)</f>
        <v>0</v>
      </c>
      <c r="E46" s="195" t="s">
        <v>596</v>
      </c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</row>
    <row r="47" spans="1:21">
      <c r="E47" s="134"/>
    </row>
    <row r="48" spans="1:21">
      <c r="E48" s="134"/>
    </row>
  </sheetData>
  <protectedRanges>
    <protectedRange sqref="B5" name="Диапазон1_1_1_1_1_1_1_1_1_1_1"/>
    <protectedRange sqref="B6:B45" name="Диапазон1_1_1_1_1_1_1_1_1_2_1"/>
  </protectedRanges>
  <mergeCells count="3">
    <mergeCell ref="A3:E3"/>
    <mergeCell ref="A4:E4"/>
    <mergeCell ref="A46:C46"/>
  </mergeCells>
  <pageMargins left="0.25" right="0.25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32"/>
  <sheetViews>
    <sheetView topLeftCell="A25" zoomScale="59" zoomScaleNormal="59" workbookViewId="0">
      <selection activeCell="G62" sqref="G62"/>
    </sheetView>
  </sheetViews>
  <sheetFormatPr defaultRowHeight="20.25"/>
  <cols>
    <col min="1" max="1" width="6" style="172" customWidth="1"/>
    <col min="2" max="2" width="48" style="169" bestFit="1" customWidth="1"/>
    <col min="3" max="3" width="13.42578125" style="170" bestFit="1" customWidth="1"/>
    <col min="4" max="4" width="15.28515625" style="170" bestFit="1" customWidth="1"/>
    <col min="5" max="5" width="15.7109375" style="170" bestFit="1" customWidth="1"/>
    <col min="6" max="7" width="16.28515625" style="170" bestFit="1" customWidth="1"/>
    <col min="8" max="8" width="24.5703125" style="188" customWidth="1"/>
    <col min="9" max="9" width="30.5703125" style="173" customWidth="1"/>
    <col min="10" max="10" width="10.28515625" style="171" bestFit="1" customWidth="1"/>
    <col min="11" max="13" width="9.140625" style="135"/>
    <col min="14" max="14" width="14.140625" style="135" bestFit="1" customWidth="1"/>
    <col min="15" max="16384" width="9.140625" style="135"/>
  </cols>
  <sheetData>
    <row r="1" spans="1:49" ht="21.75" thickBot="1">
      <c r="A1" s="226" t="s">
        <v>542</v>
      </c>
      <c r="B1" s="227"/>
      <c r="C1" s="227"/>
      <c r="D1" s="227"/>
      <c r="E1" s="227"/>
      <c r="F1" s="227"/>
      <c r="G1" s="227"/>
      <c r="H1" s="227"/>
      <c r="I1" s="228"/>
      <c r="J1" s="138"/>
    </row>
    <row r="2" spans="1:49" ht="21.75" thickBot="1">
      <c r="A2" s="229" t="s">
        <v>598</v>
      </c>
      <c r="B2" s="230"/>
      <c r="C2" s="230"/>
      <c r="D2" s="230"/>
      <c r="E2" s="231"/>
      <c r="F2" s="139" t="s">
        <v>519</v>
      </c>
      <c r="G2" s="140"/>
      <c r="H2" s="177" t="s">
        <v>520</v>
      </c>
      <c r="I2" s="141">
        <v>100</v>
      </c>
      <c r="J2" s="138"/>
    </row>
    <row r="3" spans="1:49" ht="21.75" thickBot="1">
      <c r="A3" s="216" t="s">
        <v>539</v>
      </c>
      <c r="B3" s="217"/>
      <c r="C3" s="217"/>
      <c r="D3" s="217"/>
      <c r="E3" s="217"/>
      <c r="F3" s="217"/>
      <c r="G3" s="217"/>
      <c r="H3" s="217"/>
      <c r="I3" s="218"/>
      <c r="J3" s="138"/>
    </row>
    <row r="4" spans="1:49" ht="21.75" thickBot="1">
      <c r="A4" s="142" t="s">
        <v>522</v>
      </c>
      <c r="B4" s="143" t="s">
        <v>523</v>
      </c>
      <c r="C4" s="142" t="s">
        <v>524</v>
      </c>
      <c r="D4" s="142" t="s">
        <v>525</v>
      </c>
      <c r="E4" s="142" t="s">
        <v>526</v>
      </c>
      <c r="F4" s="142" t="s">
        <v>527</v>
      </c>
      <c r="G4" s="142" t="s">
        <v>528</v>
      </c>
      <c r="H4" s="178" t="s">
        <v>529</v>
      </c>
      <c r="I4" s="144" t="s">
        <v>530</v>
      </c>
      <c r="J4" s="138"/>
    </row>
    <row r="5" spans="1:49" s="137" customFormat="1" ht="21">
      <c r="A5" s="145">
        <v>1</v>
      </c>
      <c r="B5" s="146" t="s">
        <v>531</v>
      </c>
      <c r="C5" s="147">
        <v>0</v>
      </c>
      <c r="D5" s="147">
        <v>0</v>
      </c>
      <c r="E5" s="147">
        <v>0</v>
      </c>
      <c r="F5" s="147">
        <f>C5*D5*E5/1000000</f>
        <v>0</v>
      </c>
      <c r="G5" s="147">
        <f>(C5+D5)*2/1000*E5</f>
        <v>0</v>
      </c>
      <c r="H5" s="179"/>
      <c r="I5" s="148"/>
      <c r="J5" s="138"/>
      <c r="K5" s="135"/>
      <c r="L5" s="135"/>
      <c r="M5" s="135"/>
      <c r="N5" s="136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</row>
    <row r="6" spans="1:49" ht="21">
      <c r="A6" s="149">
        <v>2</v>
      </c>
      <c r="B6" s="150"/>
      <c r="C6" s="151">
        <v>0</v>
      </c>
      <c r="D6" s="151">
        <v>0</v>
      </c>
      <c r="E6" s="151">
        <v>0</v>
      </c>
      <c r="F6" s="151">
        <f t="shared" ref="F6:F19" si="0">C6*D6*E6/1000000</f>
        <v>0</v>
      </c>
      <c r="G6" s="151">
        <f t="shared" ref="G6:G19" si="1">(C6+D6)*2/1000*E6</f>
        <v>0</v>
      </c>
      <c r="H6" s="180"/>
      <c r="I6" s="152"/>
      <c r="J6" s="138"/>
    </row>
    <row r="7" spans="1:49" s="137" customFormat="1" ht="21">
      <c r="A7" s="145">
        <v>3</v>
      </c>
      <c r="B7" s="154"/>
      <c r="C7" s="155">
        <v>0</v>
      </c>
      <c r="D7" s="155">
        <v>0</v>
      </c>
      <c r="E7" s="155">
        <v>0</v>
      </c>
      <c r="F7" s="155">
        <f t="shared" si="0"/>
        <v>0</v>
      </c>
      <c r="G7" s="155">
        <f t="shared" si="1"/>
        <v>0</v>
      </c>
      <c r="H7" s="181"/>
      <c r="I7" s="156"/>
      <c r="J7" s="138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5"/>
      <c r="AS7" s="135"/>
      <c r="AT7" s="135"/>
      <c r="AU7" s="135"/>
      <c r="AV7" s="135"/>
      <c r="AW7" s="135"/>
    </row>
    <row r="8" spans="1:49" ht="21">
      <c r="A8" s="149">
        <v>4</v>
      </c>
      <c r="B8" s="150"/>
      <c r="C8" s="151">
        <v>0</v>
      </c>
      <c r="D8" s="151">
        <v>0</v>
      </c>
      <c r="E8" s="151">
        <v>0</v>
      </c>
      <c r="F8" s="151">
        <f t="shared" si="0"/>
        <v>0</v>
      </c>
      <c r="G8" s="151">
        <f t="shared" si="1"/>
        <v>0</v>
      </c>
      <c r="H8" s="180"/>
      <c r="I8" s="152"/>
      <c r="J8" s="138"/>
    </row>
    <row r="9" spans="1:49" s="137" customFormat="1" ht="21">
      <c r="A9" s="145">
        <v>5</v>
      </c>
      <c r="B9" s="154"/>
      <c r="C9" s="155">
        <v>0</v>
      </c>
      <c r="D9" s="155">
        <v>0</v>
      </c>
      <c r="E9" s="155">
        <v>0</v>
      </c>
      <c r="F9" s="155">
        <f t="shared" si="0"/>
        <v>0</v>
      </c>
      <c r="G9" s="155">
        <f t="shared" si="1"/>
        <v>0</v>
      </c>
      <c r="H9" s="181"/>
      <c r="I9" s="156"/>
      <c r="J9" s="138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  <c r="AR9" s="135"/>
      <c r="AS9" s="135"/>
      <c r="AT9" s="135"/>
      <c r="AU9" s="135"/>
      <c r="AV9" s="135"/>
      <c r="AW9" s="135"/>
    </row>
    <row r="10" spans="1:49" ht="21">
      <c r="A10" s="149">
        <v>6</v>
      </c>
      <c r="B10" s="150"/>
      <c r="C10" s="151">
        <v>0</v>
      </c>
      <c r="D10" s="151">
        <v>0</v>
      </c>
      <c r="E10" s="151">
        <v>0</v>
      </c>
      <c r="F10" s="151">
        <f t="shared" si="0"/>
        <v>0</v>
      </c>
      <c r="G10" s="151">
        <f t="shared" si="1"/>
        <v>0</v>
      </c>
      <c r="H10" s="180"/>
      <c r="I10" s="152"/>
      <c r="J10" s="138"/>
    </row>
    <row r="11" spans="1:49" s="137" customFormat="1" ht="21">
      <c r="A11" s="145">
        <v>7</v>
      </c>
      <c r="B11" s="154"/>
      <c r="C11" s="155">
        <v>0</v>
      </c>
      <c r="D11" s="155">
        <v>0</v>
      </c>
      <c r="E11" s="155">
        <v>0</v>
      </c>
      <c r="F11" s="155">
        <f t="shared" si="0"/>
        <v>0</v>
      </c>
      <c r="G11" s="155">
        <f t="shared" si="1"/>
        <v>0</v>
      </c>
      <c r="H11" s="181"/>
      <c r="I11" s="156"/>
      <c r="J11" s="138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</row>
    <row r="12" spans="1:49" ht="21">
      <c r="A12" s="149">
        <v>8</v>
      </c>
      <c r="B12" s="150"/>
      <c r="C12" s="151">
        <v>0</v>
      </c>
      <c r="D12" s="151">
        <v>0</v>
      </c>
      <c r="E12" s="151">
        <v>0</v>
      </c>
      <c r="F12" s="151">
        <f t="shared" si="0"/>
        <v>0</v>
      </c>
      <c r="G12" s="151">
        <f t="shared" si="1"/>
        <v>0</v>
      </c>
      <c r="H12" s="180"/>
      <c r="I12" s="152"/>
      <c r="J12" s="138"/>
    </row>
    <row r="13" spans="1:49" s="137" customFormat="1" ht="21">
      <c r="A13" s="145">
        <v>9</v>
      </c>
      <c r="B13" s="154"/>
      <c r="C13" s="155">
        <v>0</v>
      </c>
      <c r="D13" s="155">
        <v>0</v>
      </c>
      <c r="E13" s="155">
        <v>0</v>
      </c>
      <c r="F13" s="155">
        <f t="shared" si="0"/>
        <v>0</v>
      </c>
      <c r="G13" s="155">
        <f t="shared" si="1"/>
        <v>0</v>
      </c>
      <c r="H13" s="181"/>
      <c r="I13" s="156"/>
      <c r="J13" s="138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</row>
    <row r="14" spans="1:49" ht="21">
      <c r="A14" s="149">
        <v>10</v>
      </c>
      <c r="B14" s="150"/>
      <c r="C14" s="151">
        <v>0</v>
      </c>
      <c r="D14" s="151">
        <v>0</v>
      </c>
      <c r="E14" s="151">
        <v>0</v>
      </c>
      <c r="F14" s="151">
        <f t="shared" si="0"/>
        <v>0</v>
      </c>
      <c r="G14" s="151">
        <f t="shared" si="1"/>
        <v>0</v>
      </c>
      <c r="H14" s="180"/>
      <c r="I14" s="152"/>
      <c r="J14" s="138"/>
    </row>
    <row r="15" spans="1:49" s="137" customFormat="1" ht="21">
      <c r="A15" s="145">
        <v>11</v>
      </c>
      <c r="B15" s="154"/>
      <c r="C15" s="155">
        <v>0</v>
      </c>
      <c r="D15" s="155">
        <v>0</v>
      </c>
      <c r="E15" s="155">
        <v>0</v>
      </c>
      <c r="F15" s="155">
        <f t="shared" si="0"/>
        <v>0</v>
      </c>
      <c r="G15" s="155">
        <f t="shared" si="1"/>
        <v>0</v>
      </c>
      <c r="H15" s="181"/>
      <c r="I15" s="156"/>
      <c r="J15" s="138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</row>
    <row r="16" spans="1:49" ht="21">
      <c r="A16" s="149">
        <v>12</v>
      </c>
      <c r="B16" s="150"/>
      <c r="C16" s="151">
        <v>0</v>
      </c>
      <c r="D16" s="151">
        <v>0</v>
      </c>
      <c r="E16" s="151">
        <v>0</v>
      </c>
      <c r="F16" s="151">
        <f t="shared" si="0"/>
        <v>0</v>
      </c>
      <c r="G16" s="151">
        <f t="shared" si="1"/>
        <v>0</v>
      </c>
      <c r="H16" s="180"/>
      <c r="I16" s="152"/>
      <c r="J16" s="138"/>
    </row>
    <row r="17" spans="1:49" s="137" customFormat="1" ht="21">
      <c r="A17" s="145">
        <v>13</v>
      </c>
      <c r="B17" s="154"/>
      <c r="C17" s="155">
        <v>0</v>
      </c>
      <c r="D17" s="155">
        <v>0</v>
      </c>
      <c r="E17" s="155">
        <v>0</v>
      </c>
      <c r="F17" s="155">
        <f t="shared" si="0"/>
        <v>0</v>
      </c>
      <c r="G17" s="155">
        <f t="shared" si="1"/>
        <v>0</v>
      </c>
      <c r="H17" s="181"/>
      <c r="I17" s="156"/>
      <c r="J17" s="138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</row>
    <row r="18" spans="1:49" ht="21">
      <c r="A18" s="149">
        <v>14</v>
      </c>
      <c r="B18" s="150"/>
      <c r="C18" s="151">
        <v>0</v>
      </c>
      <c r="D18" s="151">
        <v>0</v>
      </c>
      <c r="E18" s="151">
        <v>0</v>
      </c>
      <c r="F18" s="151">
        <f t="shared" si="0"/>
        <v>0</v>
      </c>
      <c r="G18" s="151">
        <f t="shared" si="1"/>
        <v>0</v>
      </c>
      <c r="H18" s="180"/>
      <c r="I18" s="152"/>
      <c r="J18" s="138"/>
    </row>
    <row r="19" spans="1:49" s="137" customFormat="1" ht="21">
      <c r="A19" s="145">
        <v>15</v>
      </c>
      <c r="B19" s="154"/>
      <c r="C19" s="155">
        <v>0</v>
      </c>
      <c r="D19" s="155">
        <v>0</v>
      </c>
      <c r="E19" s="155">
        <v>0</v>
      </c>
      <c r="F19" s="155">
        <f t="shared" si="0"/>
        <v>0</v>
      </c>
      <c r="G19" s="155">
        <f t="shared" si="1"/>
        <v>0</v>
      </c>
      <c r="H19" s="181"/>
      <c r="I19" s="156"/>
      <c r="J19" s="138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</row>
    <row r="20" spans="1:49" ht="21.75" thickBot="1">
      <c r="A20" s="157"/>
      <c r="B20" s="157"/>
      <c r="C20" s="157"/>
      <c r="D20" s="157"/>
      <c r="E20" s="157">
        <f>SUM(E5:E19)</f>
        <v>0</v>
      </c>
      <c r="F20" s="158">
        <f>SUM(F5:F19)</f>
        <v>0</v>
      </c>
      <c r="G20" s="158">
        <f>SUM(G5:G19)</f>
        <v>0</v>
      </c>
      <c r="H20" s="182">
        <f>F20*J20</f>
        <v>0</v>
      </c>
      <c r="I20" s="159" t="s">
        <v>532</v>
      </c>
      <c r="J20" s="160">
        <v>3200</v>
      </c>
    </row>
    <row r="21" spans="1:49" ht="21.75" thickBot="1">
      <c r="A21" s="232" t="s">
        <v>540</v>
      </c>
      <c r="B21" s="233"/>
      <c r="C21" s="233"/>
      <c r="D21" s="233"/>
      <c r="E21" s="233"/>
      <c r="F21" s="217"/>
      <c r="G21" s="217"/>
      <c r="H21" s="217"/>
      <c r="I21" s="218"/>
      <c r="J21" s="138"/>
    </row>
    <row r="22" spans="1:49" ht="21">
      <c r="A22" s="161">
        <v>1</v>
      </c>
      <c r="B22" s="174" t="s">
        <v>566</v>
      </c>
      <c r="C22" s="163">
        <v>0</v>
      </c>
      <c r="D22" s="163">
        <v>0</v>
      </c>
      <c r="E22" s="163">
        <v>0</v>
      </c>
      <c r="F22" s="163">
        <f t="shared" ref="F22:F35" si="2">C22*D22*E22/1000000</f>
        <v>0</v>
      </c>
      <c r="G22" s="163">
        <f t="shared" ref="G22:G35" si="3">(C22+D22)*2/1000*E22</f>
        <v>0</v>
      </c>
      <c r="H22" s="183"/>
      <c r="I22" s="164"/>
      <c r="J22" s="138"/>
    </row>
    <row r="23" spans="1:49" s="137" customFormat="1" ht="21">
      <c r="A23" s="153">
        <v>2</v>
      </c>
      <c r="B23" s="154"/>
      <c r="C23" s="155">
        <v>0</v>
      </c>
      <c r="D23" s="155">
        <v>0</v>
      </c>
      <c r="E23" s="155">
        <v>0</v>
      </c>
      <c r="F23" s="155">
        <f t="shared" si="2"/>
        <v>0</v>
      </c>
      <c r="G23" s="155">
        <f t="shared" si="3"/>
        <v>0</v>
      </c>
      <c r="H23" s="181"/>
      <c r="I23" s="156"/>
      <c r="J23" s="138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</row>
    <row r="24" spans="1:49" ht="21">
      <c r="A24" s="161">
        <v>3</v>
      </c>
      <c r="B24" s="150"/>
      <c r="C24" s="151">
        <v>0</v>
      </c>
      <c r="D24" s="151">
        <v>0</v>
      </c>
      <c r="E24" s="151">
        <v>0</v>
      </c>
      <c r="F24" s="151">
        <f t="shared" si="2"/>
        <v>0</v>
      </c>
      <c r="G24" s="151">
        <f t="shared" si="3"/>
        <v>0</v>
      </c>
      <c r="H24" s="180"/>
      <c r="I24" s="152"/>
      <c r="J24" s="138"/>
    </row>
    <row r="25" spans="1:49" s="137" customFormat="1" ht="21">
      <c r="A25" s="153">
        <v>4</v>
      </c>
      <c r="B25" s="154"/>
      <c r="C25" s="155">
        <v>0</v>
      </c>
      <c r="D25" s="155">
        <v>0</v>
      </c>
      <c r="E25" s="155">
        <v>0</v>
      </c>
      <c r="F25" s="155">
        <f t="shared" si="2"/>
        <v>0</v>
      </c>
      <c r="G25" s="155">
        <f t="shared" si="3"/>
        <v>0</v>
      </c>
      <c r="H25" s="181"/>
      <c r="I25" s="156"/>
      <c r="J25" s="138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35"/>
      <c r="AW25" s="135"/>
    </row>
    <row r="26" spans="1:49" ht="21">
      <c r="A26" s="161">
        <v>5</v>
      </c>
      <c r="B26" s="150"/>
      <c r="C26" s="151">
        <v>0</v>
      </c>
      <c r="D26" s="151">
        <v>0</v>
      </c>
      <c r="E26" s="151">
        <v>0</v>
      </c>
      <c r="F26" s="151">
        <f t="shared" si="2"/>
        <v>0</v>
      </c>
      <c r="G26" s="151">
        <f t="shared" si="3"/>
        <v>0</v>
      </c>
      <c r="H26" s="180"/>
      <c r="I26" s="152"/>
      <c r="J26" s="138"/>
    </row>
    <row r="27" spans="1:49" s="137" customFormat="1" ht="21">
      <c r="A27" s="153">
        <v>6</v>
      </c>
      <c r="B27" s="154"/>
      <c r="C27" s="155">
        <v>0</v>
      </c>
      <c r="D27" s="155">
        <v>0</v>
      </c>
      <c r="E27" s="155">
        <v>0</v>
      </c>
      <c r="F27" s="155">
        <f t="shared" si="2"/>
        <v>0</v>
      </c>
      <c r="G27" s="155">
        <f t="shared" si="3"/>
        <v>0</v>
      </c>
      <c r="H27" s="181"/>
      <c r="I27" s="156"/>
      <c r="J27" s="138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</row>
    <row r="28" spans="1:49" ht="21">
      <c r="A28" s="161">
        <v>7</v>
      </c>
      <c r="B28" s="150"/>
      <c r="C28" s="151">
        <v>0</v>
      </c>
      <c r="D28" s="151">
        <v>0</v>
      </c>
      <c r="E28" s="151">
        <v>0</v>
      </c>
      <c r="F28" s="151">
        <f t="shared" si="2"/>
        <v>0</v>
      </c>
      <c r="G28" s="151">
        <f t="shared" si="3"/>
        <v>0</v>
      </c>
      <c r="H28" s="180"/>
      <c r="I28" s="152"/>
      <c r="J28" s="138"/>
    </row>
    <row r="29" spans="1:49" s="137" customFormat="1" ht="21">
      <c r="A29" s="153">
        <v>8</v>
      </c>
      <c r="B29" s="154"/>
      <c r="C29" s="155">
        <v>0</v>
      </c>
      <c r="D29" s="155">
        <v>0</v>
      </c>
      <c r="E29" s="155">
        <v>0</v>
      </c>
      <c r="F29" s="155">
        <f t="shared" ref="F29:F32" si="4">C29*D29*E29/1000000</f>
        <v>0</v>
      </c>
      <c r="G29" s="155">
        <f t="shared" ref="G29:G32" si="5">(C29+D29)*2/1000*E29</f>
        <v>0</v>
      </c>
      <c r="H29" s="181"/>
      <c r="I29" s="156"/>
      <c r="J29" s="138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</row>
    <row r="30" spans="1:49" ht="21">
      <c r="A30" s="161">
        <v>9</v>
      </c>
      <c r="B30" s="150"/>
      <c r="C30" s="151">
        <v>0</v>
      </c>
      <c r="D30" s="151">
        <v>0</v>
      </c>
      <c r="E30" s="151">
        <v>0</v>
      </c>
      <c r="F30" s="151">
        <f t="shared" si="4"/>
        <v>0</v>
      </c>
      <c r="G30" s="151">
        <f t="shared" si="5"/>
        <v>0</v>
      </c>
      <c r="H30" s="180"/>
      <c r="I30" s="152"/>
      <c r="J30" s="138"/>
    </row>
    <row r="31" spans="1:49" s="137" customFormat="1" ht="21">
      <c r="A31" s="153">
        <v>10</v>
      </c>
      <c r="B31" s="154"/>
      <c r="C31" s="155">
        <v>0</v>
      </c>
      <c r="D31" s="155">
        <v>0</v>
      </c>
      <c r="E31" s="155">
        <v>0</v>
      </c>
      <c r="F31" s="155">
        <f t="shared" si="4"/>
        <v>0</v>
      </c>
      <c r="G31" s="155">
        <f t="shared" si="5"/>
        <v>0</v>
      </c>
      <c r="H31" s="181"/>
      <c r="I31" s="156"/>
      <c r="J31" s="138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</row>
    <row r="32" spans="1:49" ht="21">
      <c r="A32" s="161">
        <v>11</v>
      </c>
      <c r="B32" s="150"/>
      <c r="C32" s="151">
        <v>0</v>
      </c>
      <c r="D32" s="151">
        <v>0</v>
      </c>
      <c r="E32" s="151">
        <v>0</v>
      </c>
      <c r="F32" s="151">
        <f t="shared" si="4"/>
        <v>0</v>
      </c>
      <c r="G32" s="151">
        <f t="shared" si="5"/>
        <v>0</v>
      </c>
      <c r="H32" s="180"/>
      <c r="I32" s="152"/>
      <c r="J32" s="138"/>
    </row>
    <row r="33" spans="1:49" s="137" customFormat="1" ht="21">
      <c r="A33" s="153">
        <v>12</v>
      </c>
      <c r="B33" s="154"/>
      <c r="C33" s="155">
        <v>0</v>
      </c>
      <c r="D33" s="155">
        <v>0</v>
      </c>
      <c r="E33" s="155">
        <v>0</v>
      </c>
      <c r="F33" s="155">
        <f t="shared" si="2"/>
        <v>0</v>
      </c>
      <c r="G33" s="155">
        <f t="shared" si="3"/>
        <v>0</v>
      </c>
      <c r="H33" s="181"/>
      <c r="I33" s="156"/>
      <c r="J33" s="138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</row>
    <row r="34" spans="1:49" ht="21">
      <c r="A34" s="161">
        <v>13</v>
      </c>
      <c r="B34" s="150"/>
      <c r="C34" s="151">
        <v>0</v>
      </c>
      <c r="D34" s="151">
        <v>0</v>
      </c>
      <c r="E34" s="151">
        <v>0</v>
      </c>
      <c r="F34" s="151">
        <f t="shared" si="2"/>
        <v>0</v>
      </c>
      <c r="G34" s="151">
        <f t="shared" si="3"/>
        <v>0</v>
      </c>
      <c r="H34" s="180"/>
      <c r="I34" s="152"/>
      <c r="J34" s="138"/>
    </row>
    <row r="35" spans="1:49" s="137" customFormat="1" ht="21">
      <c r="A35" s="153">
        <v>14</v>
      </c>
      <c r="B35" s="154"/>
      <c r="C35" s="155">
        <v>0</v>
      </c>
      <c r="D35" s="155">
        <v>0</v>
      </c>
      <c r="E35" s="155">
        <v>0</v>
      </c>
      <c r="F35" s="155">
        <f t="shared" si="2"/>
        <v>0</v>
      </c>
      <c r="G35" s="155">
        <f t="shared" si="3"/>
        <v>0</v>
      </c>
      <c r="H35" s="181"/>
      <c r="I35" s="156"/>
      <c r="J35" s="138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</row>
    <row r="36" spans="1:49" ht="21.75" thickBot="1">
      <c r="A36" s="234"/>
      <c r="B36" s="235"/>
      <c r="C36" s="235"/>
      <c r="D36" s="235"/>
      <c r="E36" s="236"/>
      <c r="F36" s="158">
        <f>SUM(F22:F35)</f>
        <v>0</v>
      </c>
      <c r="G36" s="158"/>
      <c r="H36" s="184">
        <f>F36*J36</f>
        <v>0</v>
      </c>
      <c r="I36" s="159" t="s">
        <v>532</v>
      </c>
      <c r="J36" s="160">
        <v>10780</v>
      </c>
    </row>
    <row r="37" spans="1:49" ht="21.75" thickBot="1">
      <c r="A37" s="216" t="s">
        <v>541</v>
      </c>
      <c r="B37" s="224"/>
      <c r="C37" s="224"/>
      <c r="D37" s="224"/>
      <c r="E37" s="224"/>
      <c r="F37" s="224"/>
      <c r="G37" s="224"/>
      <c r="H37" s="224"/>
      <c r="I37" s="225"/>
      <c r="J37" s="138"/>
    </row>
    <row r="38" spans="1:49" ht="21">
      <c r="A38" s="161">
        <v>1</v>
      </c>
      <c r="B38" s="162" t="s">
        <v>575</v>
      </c>
      <c r="C38" s="163">
        <v>0</v>
      </c>
      <c r="D38" s="163">
        <v>0</v>
      </c>
      <c r="E38" s="163">
        <v>0</v>
      </c>
      <c r="F38" s="163">
        <f t="shared" ref="F38:F44" si="6">C38*D38*E38/1000000</f>
        <v>0</v>
      </c>
      <c r="G38" s="163">
        <f t="shared" ref="G38:G44" si="7">(C38+D38)*2/1000*E38</f>
        <v>0</v>
      </c>
      <c r="H38" s="183"/>
      <c r="I38" s="164"/>
      <c r="J38" s="138"/>
    </row>
    <row r="39" spans="1:49" s="137" customFormat="1" ht="21">
      <c r="A39" s="153">
        <v>2</v>
      </c>
      <c r="B39" s="154"/>
      <c r="C39" s="155">
        <v>0</v>
      </c>
      <c r="D39" s="155">
        <v>0</v>
      </c>
      <c r="E39" s="155">
        <v>0</v>
      </c>
      <c r="F39" s="155">
        <f t="shared" si="6"/>
        <v>0</v>
      </c>
      <c r="G39" s="155">
        <f t="shared" si="7"/>
        <v>0</v>
      </c>
      <c r="H39" s="181"/>
      <c r="I39" s="156"/>
      <c r="J39" s="138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</row>
    <row r="40" spans="1:49" ht="21">
      <c r="A40" s="161">
        <v>3</v>
      </c>
      <c r="B40" s="150"/>
      <c r="C40" s="151">
        <v>0</v>
      </c>
      <c r="D40" s="151">
        <v>0</v>
      </c>
      <c r="E40" s="151">
        <v>0</v>
      </c>
      <c r="F40" s="151">
        <f t="shared" si="6"/>
        <v>0</v>
      </c>
      <c r="G40" s="151">
        <f t="shared" si="7"/>
        <v>0</v>
      </c>
      <c r="H40" s="180"/>
      <c r="I40" s="152"/>
      <c r="J40" s="138"/>
    </row>
    <row r="41" spans="1:49" s="137" customFormat="1" ht="21">
      <c r="A41" s="153">
        <v>4</v>
      </c>
      <c r="B41" s="154"/>
      <c r="C41" s="155">
        <v>0</v>
      </c>
      <c r="D41" s="155">
        <v>0</v>
      </c>
      <c r="E41" s="155">
        <v>0</v>
      </c>
      <c r="F41" s="155">
        <f t="shared" si="6"/>
        <v>0</v>
      </c>
      <c r="G41" s="155">
        <f t="shared" si="7"/>
        <v>0</v>
      </c>
      <c r="H41" s="181"/>
      <c r="I41" s="156"/>
      <c r="J41" s="138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</row>
    <row r="42" spans="1:49" ht="21">
      <c r="A42" s="161">
        <v>5</v>
      </c>
      <c r="B42" s="150"/>
      <c r="C42" s="151">
        <v>0</v>
      </c>
      <c r="D42" s="151">
        <v>0</v>
      </c>
      <c r="E42" s="151">
        <v>0</v>
      </c>
      <c r="F42" s="151">
        <f t="shared" si="6"/>
        <v>0</v>
      </c>
      <c r="G42" s="151">
        <f t="shared" si="7"/>
        <v>0</v>
      </c>
      <c r="H42" s="180"/>
      <c r="I42" s="152"/>
      <c r="J42" s="138"/>
    </row>
    <row r="43" spans="1:49" s="137" customFormat="1" ht="21">
      <c r="A43" s="153">
        <v>6</v>
      </c>
      <c r="B43" s="154"/>
      <c r="C43" s="155">
        <v>0</v>
      </c>
      <c r="D43" s="155">
        <v>0</v>
      </c>
      <c r="E43" s="155">
        <v>0</v>
      </c>
      <c r="F43" s="155">
        <f t="shared" si="6"/>
        <v>0</v>
      </c>
      <c r="G43" s="155">
        <f t="shared" si="7"/>
        <v>0</v>
      </c>
      <c r="H43" s="181"/>
      <c r="I43" s="156"/>
      <c r="J43" s="138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  <c r="AR43" s="135"/>
      <c r="AS43" s="135"/>
      <c r="AT43" s="135"/>
      <c r="AU43" s="135"/>
      <c r="AV43" s="135"/>
      <c r="AW43" s="135"/>
    </row>
    <row r="44" spans="1:49" ht="21">
      <c r="A44" s="161">
        <v>7</v>
      </c>
      <c r="B44" s="150"/>
      <c r="C44" s="151">
        <v>0</v>
      </c>
      <c r="D44" s="151">
        <v>0</v>
      </c>
      <c r="E44" s="151">
        <v>0</v>
      </c>
      <c r="F44" s="151">
        <f t="shared" si="6"/>
        <v>0</v>
      </c>
      <c r="G44" s="151">
        <f t="shared" si="7"/>
        <v>0</v>
      </c>
      <c r="H44" s="180"/>
      <c r="I44" s="152"/>
      <c r="J44" s="138"/>
    </row>
    <row r="45" spans="1:49" s="137" customFormat="1" ht="21.75" thickBot="1">
      <c r="A45" s="213"/>
      <c r="B45" s="214"/>
      <c r="C45" s="214"/>
      <c r="D45" s="214"/>
      <c r="E45" s="215"/>
      <c r="F45" s="165">
        <f>SUM(F38:F44)</f>
        <v>0</v>
      </c>
      <c r="G45" s="165"/>
      <c r="H45" s="185">
        <f>F45*J45</f>
        <v>0</v>
      </c>
      <c r="I45" s="166" t="s">
        <v>532</v>
      </c>
      <c r="J45" s="160">
        <v>900</v>
      </c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  <c r="AR45" s="135"/>
      <c r="AS45" s="135"/>
      <c r="AT45" s="135"/>
      <c r="AU45" s="135"/>
      <c r="AV45" s="135"/>
      <c r="AW45" s="135"/>
    </row>
    <row r="46" spans="1:49" ht="21.75" thickBot="1">
      <c r="A46" s="216" t="s">
        <v>533</v>
      </c>
      <c r="B46" s="217"/>
      <c r="C46" s="217"/>
      <c r="D46" s="217"/>
      <c r="E46" s="217"/>
      <c r="F46" s="217"/>
      <c r="G46" s="217"/>
      <c r="H46" s="217"/>
      <c r="I46" s="218"/>
      <c r="J46" s="138"/>
    </row>
    <row r="47" spans="1:49" ht="21">
      <c r="A47" s="161">
        <v>1</v>
      </c>
      <c r="B47" s="162" t="s">
        <v>534</v>
      </c>
      <c r="C47" s="163"/>
      <c r="D47" s="163"/>
      <c r="E47" s="163"/>
      <c r="F47" s="163"/>
      <c r="G47" s="163"/>
      <c r="H47" s="183"/>
      <c r="I47" s="164"/>
      <c r="J47" s="138"/>
    </row>
    <row r="48" spans="1:49" s="137" customFormat="1" ht="21">
      <c r="A48" s="153">
        <v>2</v>
      </c>
      <c r="B48" s="154" t="s">
        <v>543</v>
      </c>
      <c r="C48" s="155"/>
      <c r="D48" s="155"/>
      <c r="E48" s="155"/>
      <c r="F48" s="155"/>
      <c r="G48" s="155"/>
      <c r="H48" s="181"/>
      <c r="I48" s="156"/>
      <c r="J48" s="138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  <c r="AR48" s="135"/>
      <c r="AS48" s="135"/>
      <c r="AT48" s="135"/>
      <c r="AU48" s="135"/>
      <c r="AV48" s="135"/>
      <c r="AW48" s="135"/>
    </row>
    <row r="49" spans="1:49" ht="21">
      <c r="A49" s="161">
        <v>3</v>
      </c>
      <c r="B49" s="150" t="s">
        <v>535</v>
      </c>
      <c r="C49" s="151"/>
      <c r="D49" s="151"/>
      <c r="E49" s="151"/>
      <c r="F49" s="151"/>
      <c r="G49" s="151"/>
      <c r="H49" s="180"/>
      <c r="I49" s="152"/>
      <c r="J49" s="138"/>
    </row>
    <row r="50" spans="1:49" s="137" customFormat="1" ht="21">
      <c r="A50" s="153">
        <v>4</v>
      </c>
      <c r="B50" s="154" t="s">
        <v>536</v>
      </c>
      <c r="C50" s="155"/>
      <c r="D50" s="155"/>
      <c r="E50" s="155"/>
      <c r="F50" s="155"/>
      <c r="G50" s="155"/>
      <c r="H50" s="181">
        <f>ТаблицаКорпус_2[[#Totals],[Кол-во]]+H45+H20</f>
        <v>0</v>
      </c>
      <c r="I50" s="156"/>
      <c r="J50" s="138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  <c r="AR50" s="135"/>
      <c r="AS50" s="135"/>
      <c r="AT50" s="135"/>
      <c r="AU50" s="135"/>
      <c r="AV50" s="135"/>
      <c r="AW50" s="135"/>
    </row>
    <row r="51" spans="1:49" s="137" customFormat="1" ht="21">
      <c r="A51" s="161">
        <v>5</v>
      </c>
      <c r="B51" s="154" t="s">
        <v>521</v>
      </c>
      <c r="C51" s="155"/>
      <c r="D51" s="155"/>
      <c r="E51" s="155"/>
      <c r="F51" s="155"/>
      <c r="G51" s="155"/>
      <c r="H51" s="181">
        <f>'Отчет по фасадам'!O3+H36</f>
        <v>0</v>
      </c>
      <c r="I51" s="156"/>
      <c r="J51" s="138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  <c r="AR51" s="135"/>
      <c r="AS51" s="135"/>
      <c r="AT51" s="135"/>
      <c r="AU51" s="135"/>
      <c r="AV51" s="135"/>
      <c r="AW51" s="135"/>
    </row>
    <row r="52" spans="1:49" ht="21">
      <c r="A52" s="153">
        <v>6</v>
      </c>
      <c r="B52" s="150" t="s">
        <v>537</v>
      </c>
      <c r="C52" s="151"/>
      <c r="D52" s="151"/>
      <c r="E52" s="151"/>
      <c r="F52" s="151"/>
      <c r="G52" s="151"/>
      <c r="H52" s="180">
        <f>Фурнитура!D46</f>
        <v>0</v>
      </c>
      <c r="I52" s="152"/>
      <c r="J52" s="138"/>
    </row>
    <row r="53" spans="1:49" ht="21">
      <c r="A53" s="161">
        <v>7</v>
      </c>
      <c r="B53" s="150" t="s">
        <v>580</v>
      </c>
      <c r="C53" s="151"/>
      <c r="D53" s="151"/>
      <c r="E53" s="151"/>
      <c r="F53" s="151"/>
      <c r="G53" s="151"/>
      <c r="H53" s="180"/>
      <c r="I53" s="152"/>
      <c r="J53" s="138"/>
    </row>
    <row r="54" spans="1:49" ht="21">
      <c r="A54" s="153">
        <v>8</v>
      </c>
      <c r="B54" s="150" t="s">
        <v>595</v>
      </c>
      <c r="C54" s="151"/>
      <c r="D54" s="151"/>
      <c r="E54" s="151"/>
      <c r="F54" s="151"/>
      <c r="G54" s="151"/>
      <c r="H54" s="180"/>
      <c r="I54" s="152"/>
      <c r="J54" s="138"/>
    </row>
    <row r="55" spans="1:49" ht="21">
      <c r="A55" s="161"/>
      <c r="B55" s="150"/>
      <c r="C55" s="151"/>
      <c r="D55" s="151"/>
      <c r="E55" s="151"/>
      <c r="F55" s="151"/>
      <c r="G55" s="151"/>
      <c r="H55" s="180"/>
      <c r="I55" s="152"/>
      <c r="J55" s="138"/>
    </row>
    <row r="56" spans="1:49" ht="21">
      <c r="A56" s="161"/>
      <c r="B56" s="150"/>
      <c r="C56" s="151"/>
      <c r="D56" s="151"/>
      <c r="E56" s="151"/>
      <c r="F56" s="151"/>
      <c r="G56" s="151"/>
      <c r="H56" s="180"/>
      <c r="I56" s="152"/>
      <c r="J56" s="138"/>
    </row>
    <row r="57" spans="1:49" s="137" customFormat="1" ht="21.75" thickBot="1">
      <c r="A57" s="153"/>
      <c r="B57" s="219"/>
      <c r="C57" s="220"/>
      <c r="D57" s="221"/>
      <c r="E57" s="165"/>
      <c r="F57" s="165"/>
      <c r="G57" s="165"/>
      <c r="H57" s="185"/>
      <c r="I57" s="166"/>
      <c r="J57" s="138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135"/>
      <c r="AS57" s="135"/>
      <c r="AT57" s="135"/>
      <c r="AU57" s="135"/>
      <c r="AV57" s="135"/>
      <c r="AW57" s="135"/>
    </row>
    <row r="58" spans="1:49" ht="21.75" thickBot="1">
      <c r="A58" s="167"/>
      <c r="B58" s="222" t="s">
        <v>502</v>
      </c>
      <c r="C58" s="223"/>
      <c r="D58" s="223"/>
      <c r="E58" s="223"/>
      <c r="F58" s="223"/>
      <c r="G58" s="223"/>
      <c r="H58" s="186">
        <f>(H47+H48+H49+H50+H51+H52+H53+H54+H55+H56)</f>
        <v>0</v>
      </c>
      <c r="I58" s="168" t="s">
        <v>538</v>
      </c>
      <c r="J58" s="138"/>
    </row>
    <row r="59" spans="1:49" ht="23.25">
      <c r="G59" s="198"/>
      <c r="H59" s="199" t="s">
        <v>597</v>
      </c>
      <c r="I59" s="200"/>
    </row>
    <row r="60" spans="1:49" ht="23.25">
      <c r="F60" s="197"/>
      <c r="G60" s="190"/>
      <c r="H60" s="191"/>
      <c r="I60" s="192"/>
    </row>
    <row r="61" spans="1:49" ht="23.25">
      <c r="G61" s="190"/>
      <c r="H61" s="197"/>
      <c r="I61" s="192"/>
    </row>
    <row r="62" spans="1:49">
      <c r="H62" s="187"/>
    </row>
    <row r="63" spans="1:49">
      <c r="H63" s="187"/>
    </row>
    <row r="64" spans="1:49">
      <c r="H64" s="187"/>
    </row>
    <row r="65" spans="8:8">
      <c r="H65" s="187"/>
    </row>
    <row r="66" spans="8:8">
      <c r="H66" s="187"/>
    </row>
    <row r="67" spans="8:8">
      <c r="H67" s="187"/>
    </row>
    <row r="68" spans="8:8">
      <c r="H68" s="187"/>
    </row>
    <row r="69" spans="8:8">
      <c r="H69" s="187"/>
    </row>
    <row r="70" spans="8:8">
      <c r="H70" s="187"/>
    </row>
    <row r="71" spans="8:8">
      <c r="H71" s="187"/>
    </row>
    <row r="72" spans="8:8">
      <c r="H72" s="187"/>
    </row>
    <row r="73" spans="8:8">
      <c r="H73" s="187"/>
    </row>
    <row r="74" spans="8:8">
      <c r="H74" s="187"/>
    </row>
    <row r="75" spans="8:8">
      <c r="H75" s="187"/>
    </row>
    <row r="76" spans="8:8">
      <c r="H76" s="187"/>
    </row>
    <row r="77" spans="8:8">
      <c r="H77" s="187"/>
    </row>
    <row r="78" spans="8:8">
      <c r="H78" s="187"/>
    </row>
    <row r="79" spans="8:8">
      <c r="H79" s="187"/>
    </row>
    <row r="80" spans="8:8">
      <c r="H80" s="187"/>
    </row>
    <row r="81" spans="8:8">
      <c r="H81" s="187"/>
    </row>
    <row r="82" spans="8:8">
      <c r="H82" s="187"/>
    </row>
    <row r="83" spans="8:8">
      <c r="H83" s="187"/>
    </row>
    <row r="84" spans="8:8">
      <c r="H84" s="187"/>
    </row>
    <row r="85" spans="8:8">
      <c r="H85" s="187"/>
    </row>
    <row r="86" spans="8:8">
      <c r="H86" s="187"/>
    </row>
    <row r="87" spans="8:8">
      <c r="H87" s="187"/>
    </row>
    <row r="88" spans="8:8">
      <c r="H88" s="187"/>
    </row>
    <row r="89" spans="8:8">
      <c r="H89" s="187"/>
    </row>
    <row r="90" spans="8:8">
      <c r="H90" s="187"/>
    </row>
    <row r="91" spans="8:8">
      <c r="H91" s="187"/>
    </row>
    <row r="92" spans="8:8">
      <c r="H92" s="187"/>
    </row>
    <row r="93" spans="8:8">
      <c r="H93" s="187"/>
    </row>
    <row r="94" spans="8:8">
      <c r="H94" s="187"/>
    </row>
    <row r="95" spans="8:8">
      <c r="H95" s="187"/>
    </row>
    <row r="96" spans="8:8">
      <c r="H96" s="187"/>
    </row>
    <row r="97" spans="8:8">
      <c r="H97" s="187"/>
    </row>
    <row r="98" spans="8:8">
      <c r="H98" s="187"/>
    </row>
    <row r="99" spans="8:8">
      <c r="H99" s="187"/>
    </row>
    <row r="100" spans="8:8">
      <c r="H100" s="187"/>
    </row>
    <row r="101" spans="8:8">
      <c r="H101" s="187"/>
    </row>
    <row r="102" spans="8:8">
      <c r="H102" s="187"/>
    </row>
    <row r="103" spans="8:8">
      <c r="H103" s="187"/>
    </row>
    <row r="104" spans="8:8">
      <c r="H104" s="187"/>
    </row>
    <row r="105" spans="8:8">
      <c r="H105" s="187"/>
    </row>
    <row r="106" spans="8:8">
      <c r="H106" s="187"/>
    </row>
    <row r="107" spans="8:8">
      <c r="H107" s="187"/>
    </row>
    <row r="108" spans="8:8">
      <c r="H108" s="187"/>
    </row>
    <row r="109" spans="8:8">
      <c r="H109" s="187"/>
    </row>
    <row r="110" spans="8:8">
      <c r="H110" s="187"/>
    </row>
    <row r="111" spans="8:8">
      <c r="H111" s="187"/>
    </row>
    <row r="112" spans="8:8">
      <c r="H112" s="187"/>
    </row>
    <row r="113" spans="8:8">
      <c r="H113" s="187"/>
    </row>
    <row r="114" spans="8:8">
      <c r="H114" s="187"/>
    </row>
    <row r="115" spans="8:8">
      <c r="H115" s="187"/>
    </row>
    <row r="116" spans="8:8">
      <c r="H116" s="187"/>
    </row>
    <row r="117" spans="8:8">
      <c r="H117" s="187"/>
    </row>
    <row r="118" spans="8:8">
      <c r="H118" s="187"/>
    </row>
    <row r="119" spans="8:8">
      <c r="H119" s="187"/>
    </row>
    <row r="120" spans="8:8">
      <c r="H120" s="187"/>
    </row>
    <row r="121" spans="8:8">
      <c r="H121" s="187"/>
    </row>
    <row r="122" spans="8:8">
      <c r="H122" s="187"/>
    </row>
    <row r="123" spans="8:8">
      <c r="H123" s="187"/>
    </row>
    <row r="124" spans="8:8">
      <c r="H124" s="187"/>
    </row>
    <row r="125" spans="8:8">
      <c r="H125" s="187"/>
    </row>
    <row r="126" spans="8:8">
      <c r="H126" s="187"/>
    </row>
    <row r="127" spans="8:8">
      <c r="H127" s="187"/>
    </row>
    <row r="128" spans="8:8">
      <c r="H128" s="187"/>
    </row>
    <row r="129" spans="8:8">
      <c r="H129" s="187"/>
    </row>
    <row r="130" spans="8:8">
      <c r="H130" s="187"/>
    </row>
    <row r="131" spans="8:8">
      <c r="H131" s="187"/>
    </row>
    <row r="132" spans="8:8">
      <c r="H132" s="187"/>
    </row>
    <row r="133" spans="8:8">
      <c r="H133" s="187"/>
    </row>
    <row r="134" spans="8:8">
      <c r="H134" s="187"/>
    </row>
    <row r="135" spans="8:8">
      <c r="H135" s="187"/>
    </row>
    <row r="136" spans="8:8">
      <c r="H136" s="187"/>
    </row>
    <row r="137" spans="8:8">
      <c r="H137" s="187"/>
    </row>
    <row r="138" spans="8:8">
      <c r="H138" s="187"/>
    </row>
    <row r="139" spans="8:8">
      <c r="H139" s="187"/>
    </row>
    <row r="140" spans="8:8">
      <c r="H140" s="187"/>
    </row>
    <row r="141" spans="8:8">
      <c r="H141" s="187"/>
    </row>
    <row r="142" spans="8:8">
      <c r="H142" s="187"/>
    </row>
    <row r="143" spans="8:8">
      <c r="H143" s="187"/>
    </row>
    <row r="144" spans="8:8">
      <c r="H144" s="187"/>
    </row>
    <row r="145" spans="8:8">
      <c r="H145" s="187"/>
    </row>
    <row r="146" spans="8:8">
      <c r="H146" s="187"/>
    </row>
    <row r="147" spans="8:8">
      <c r="H147" s="187"/>
    </row>
    <row r="148" spans="8:8">
      <c r="H148" s="187"/>
    </row>
    <row r="149" spans="8:8">
      <c r="H149" s="187"/>
    </row>
    <row r="150" spans="8:8">
      <c r="H150" s="187"/>
    </row>
    <row r="151" spans="8:8">
      <c r="H151" s="187"/>
    </row>
    <row r="152" spans="8:8">
      <c r="H152" s="187"/>
    </row>
    <row r="153" spans="8:8">
      <c r="H153" s="187"/>
    </row>
    <row r="154" spans="8:8">
      <c r="H154" s="187"/>
    </row>
    <row r="155" spans="8:8">
      <c r="H155" s="187"/>
    </row>
    <row r="156" spans="8:8">
      <c r="H156" s="187"/>
    </row>
    <row r="157" spans="8:8">
      <c r="H157" s="187"/>
    </row>
    <row r="158" spans="8:8">
      <c r="H158" s="187"/>
    </row>
    <row r="159" spans="8:8">
      <c r="H159" s="187"/>
    </row>
    <row r="160" spans="8:8">
      <c r="H160" s="187"/>
    </row>
    <row r="161" spans="8:8">
      <c r="H161" s="187"/>
    </row>
    <row r="162" spans="8:8">
      <c r="H162" s="187"/>
    </row>
    <row r="163" spans="8:8">
      <c r="H163" s="187"/>
    </row>
    <row r="164" spans="8:8">
      <c r="H164" s="187"/>
    </row>
    <row r="165" spans="8:8">
      <c r="H165" s="187"/>
    </row>
    <row r="166" spans="8:8">
      <c r="H166" s="187"/>
    </row>
    <row r="167" spans="8:8">
      <c r="H167" s="187"/>
    </row>
    <row r="168" spans="8:8">
      <c r="H168" s="187"/>
    </row>
    <row r="169" spans="8:8">
      <c r="H169" s="187"/>
    </row>
    <row r="170" spans="8:8">
      <c r="H170" s="187"/>
    </row>
    <row r="171" spans="8:8">
      <c r="H171" s="187"/>
    </row>
    <row r="172" spans="8:8">
      <c r="H172" s="187"/>
    </row>
    <row r="173" spans="8:8">
      <c r="H173" s="187"/>
    </row>
    <row r="174" spans="8:8">
      <c r="H174" s="187"/>
    </row>
    <row r="175" spans="8:8">
      <c r="H175" s="187"/>
    </row>
    <row r="176" spans="8:8">
      <c r="H176" s="187"/>
    </row>
    <row r="177" spans="8:8">
      <c r="H177" s="187"/>
    </row>
    <row r="178" spans="8:8">
      <c r="H178" s="187"/>
    </row>
    <row r="179" spans="8:8">
      <c r="H179" s="187"/>
    </row>
    <row r="180" spans="8:8">
      <c r="H180" s="187"/>
    </row>
    <row r="181" spans="8:8">
      <c r="H181" s="187"/>
    </row>
    <row r="182" spans="8:8">
      <c r="H182" s="187"/>
    </row>
    <row r="183" spans="8:8">
      <c r="H183" s="187"/>
    </row>
    <row r="184" spans="8:8">
      <c r="H184" s="187"/>
    </row>
    <row r="185" spans="8:8">
      <c r="H185" s="187"/>
    </row>
    <row r="186" spans="8:8">
      <c r="H186" s="187"/>
    </row>
    <row r="187" spans="8:8">
      <c r="H187" s="187"/>
    </row>
    <row r="188" spans="8:8">
      <c r="H188" s="187"/>
    </row>
    <row r="189" spans="8:8">
      <c r="H189" s="187"/>
    </row>
    <row r="190" spans="8:8">
      <c r="H190" s="187"/>
    </row>
    <row r="191" spans="8:8">
      <c r="H191" s="187"/>
    </row>
    <row r="192" spans="8:8">
      <c r="H192" s="187"/>
    </row>
    <row r="193" spans="8:8">
      <c r="H193" s="187"/>
    </row>
    <row r="194" spans="8:8">
      <c r="H194" s="187"/>
    </row>
    <row r="195" spans="8:8">
      <c r="H195" s="187"/>
    </row>
    <row r="196" spans="8:8">
      <c r="H196" s="187"/>
    </row>
    <row r="197" spans="8:8">
      <c r="H197" s="187"/>
    </row>
    <row r="198" spans="8:8">
      <c r="H198" s="187"/>
    </row>
    <row r="199" spans="8:8">
      <c r="H199" s="187"/>
    </row>
    <row r="200" spans="8:8">
      <c r="H200" s="187"/>
    </row>
    <row r="201" spans="8:8">
      <c r="H201" s="187"/>
    </row>
    <row r="202" spans="8:8">
      <c r="H202" s="187"/>
    </row>
    <row r="203" spans="8:8">
      <c r="H203" s="187"/>
    </row>
    <row r="204" spans="8:8">
      <c r="H204" s="187"/>
    </row>
    <row r="205" spans="8:8">
      <c r="H205" s="187"/>
    </row>
    <row r="206" spans="8:8">
      <c r="H206" s="187"/>
    </row>
    <row r="207" spans="8:8">
      <c r="H207" s="187"/>
    </row>
    <row r="208" spans="8:8">
      <c r="H208" s="187"/>
    </row>
    <row r="209" spans="8:8">
      <c r="H209" s="187"/>
    </row>
    <row r="210" spans="8:8">
      <c r="H210" s="187"/>
    </row>
    <row r="211" spans="8:8">
      <c r="H211" s="187"/>
    </row>
    <row r="212" spans="8:8">
      <c r="H212" s="187"/>
    </row>
    <row r="213" spans="8:8">
      <c r="H213" s="187"/>
    </row>
    <row r="214" spans="8:8">
      <c r="H214" s="187"/>
    </row>
    <row r="215" spans="8:8">
      <c r="H215" s="187"/>
    </row>
    <row r="216" spans="8:8">
      <c r="H216" s="187"/>
    </row>
    <row r="217" spans="8:8">
      <c r="H217" s="187"/>
    </row>
    <row r="218" spans="8:8">
      <c r="H218" s="187"/>
    </row>
    <row r="219" spans="8:8">
      <c r="H219" s="187"/>
    </row>
    <row r="220" spans="8:8">
      <c r="H220" s="187"/>
    </row>
    <row r="221" spans="8:8">
      <c r="H221" s="187"/>
    </row>
    <row r="222" spans="8:8">
      <c r="H222" s="187"/>
    </row>
    <row r="223" spans="8:8">
      <c r="H223" s="187"/>
    </row>
    <row r="224" spans="8:8">
      <c r="H224" s="187"/>
    </row>
    <row r="225" spans="8:8">
      <c r="H225" s="187"/>
    </row>
    <row r="226" spans="8:8">
      <c r="H226" s="187"/>
    </row>
    <row r="227" spans="8:8">
      <c r="H227" s="187"/>
    </row>
    <row r="228" spans="8:8">
      <c r="H228" s="187"/>
    </row>
    <row r="229" spans="8:8">
      <c r="H229" s="187"/>
    </row>
    <row r="230" spans="8:8">
      <c r="H230" s="187"/>
    </row>
    <row r="231" spans="8:8">
      <c r="H231" s="187"/>
    </row>
    <row r="232" spans="8:8">
      <c r="H232" s="187"/>
    </row>
    <row r="233" spans="8:8">
      <c r="H233" s="187"/>
    </row>
    <row r="234" spans="8:8">
      <c r="H234" s="187"/>
    </row>
    <row r="235" spans="8:8">
      <c r="H235" s="187"/>
    </row>
    <row r="236" spans="8:8">
      <c r="H236" s="187"/>
    </row>
    <row r="237" spans="8:8">
      <c r="H237" s="187"/>
    </row>
    <row r="238" spans="8:8">
      <c r="H238" s="187"/>
    </row>
    <row r="239" spans="8:8">
      <c r="H239" s="187"/>
    </row>
    <row r="240" spans="8:8">
      <c r="H240" s="187"/>
    </row>
    <row r="241" spans="8:8">
      <c r="H241" s="187"/>
    </row>
    <row r="242" spans="8:8">
      <c r="H242" s="187"/>
    </row>
    <row r="243" spans="8:8">
      <c r="H243" s="187"/>
    </row>
    <row r="244" spans="8:8">
      <c r="H244" s="187"/>
    </row>
    <row r="245" spans="8:8">
      <c r="H245" s="187"/>
    </row>
    <row r="246" spans="8:8">
      <c r="H246" s="187"/>
    </row>
    <row r="247" spans="8:8">
      <c r="H247" s="187"/>
    </row>
    <row r="248" spans="8:8">
      <c r="H248" s="187"/>
    </row>
    <row r="249" spans="8:8">
      <c r="H249" s="187"/>
    </row>
    <row r="250" spans="8:8">
      <c r="H250" s="187"/>
    </row>
    <row r="251" spans="8:8">
      <c r="H251" s="187"/>
    </row>
    <row r="252" spans="8:8">
      <c r="H252" s="187"/>
    </row>
    <row r="253" spans="8:8">
      <c r="H253" s="187"/>
    </row>
    <row r="254" spans="8:8">
      <c r="H254" s="187"/>
    </row>
    <row r="255" spans="8:8">
      <c r="H255" s="187"/>
    </row>
    <row r="256" spans="8:8">
      <c r="H256" s="187"/>
    </row>
    <row r="257" spans="8:8">
      <c r="H257" s="187"/>
    </row>
    <row r="258" spans="8:8">
      <c r="H258" s="187"/>
    </row>
    <row r="259" spans="8:8">
      <c r="H259" s="187"/>
    </row>
    <row r="260" spans="8:8">
      <c r="H260" s="187"/>
    </row>
    <row r="261" spans="8:8">
      <c r="H261" s="187"/>
    </row>
    <row r="262" spans="8:8">
      <c r="H262" s="187"/>
    </row>
    <row r="263" spans="8:8">
      <c r="H263" s="187"/>
    </row>
    <row r="264" spans="8:8">
      <c r="H264" s="187"/>
    </row>
    <row r="265" spans="8:8">
      <c r="H265" s="187"/>
    </row>
    <row r="266" spans="8:8">
      <c r="H266" s="187"/>
    </row>
    <row r="267" spans="8:8">
      <c r="H267" s="187"/>
    </row>
    <row r="268" spans="8:8">
      <c r="H268" s="187"/>
    </row>
    <row r="269" spans="8:8">
      <c r="H269" s="187"/>
    </row>
    <row r="270" spans="8:8">
      <c r="H270" s="187"/>
    </row>
    <row r="271" spans="8:8">
      <c r="H271" s="187"/>
    </row>
    <row r="272" spans="8:8">
      <c r="H272" s="187"/>
    </row>
    <row r="273" spans="8:8">
      <c r="H273" s="187"/>
    </row>
    <row r="274" spans="8:8">
      <c r="H274" s="187"/>
    </row>
    <row r="275" spans="8:8">
      <c r="H275" s="187"/>
    </row>
    <row r="276" spans="8:8">
      <c r="H276" s="187"/>
    </row>
    <row r="277" spans="8:8">
      <c r="H277" s="187"/>
    </row>
    <row r="278" spans="8:8">
      <c r="H278" s="187"/>
    </row>
    <row r="279" spans="8:8">
      <c r="H279" s="187"/>
    </row>
    <row r="280" spans="8:8">
      <c r="H280" s="187"/>
    </row>
    <row r="281" spans="8:8">
      <c r="H281" s="187"/>
    </row>
    <row r="282" spans="8:8">
      <c r="H282" s="187"/>
    </row>
    <row r="283" spans="8:8">
      <c r="H283" s="187"/>
    </row>
    <row r="284" spans="8:8">
      <c r="H284" s="187"/>
    </row>
    <row r="285" spans="8:8">
      <c r="H285" s="187"/>
    </row>
    <row r="286" spans="8:8">
      <c r="H286" s="187"/>
    </row>
    <row r="287" spans="8:8">
      <c r="H287" s="187"/>
    </row>
    <row r="288" spans="8:8">
      <c r="H288" s="187"/>
    </row>
    <row r="289" spans="8:8">
      <c r="H289" s="187"/>
    </row>
    <row r="290" spans="8:8">
      <c r="H290" s="187"/>
    </row>
    <row r="291" spans="8:8">
      <c r="H291" s="187"/>
    </row>
    <row r="292" spans="8:8">
      <c r="H292" s="187"/>
    </row>
    <row r="293" spans="8:8">
      <c r="H293" s="187"/>
    </row>
    <row r="294" spans="8:8">
      <c r="H294" s="187"/>
    </row>
    <row r="295" spans="8:8">
      <c r="H295" s="187"/>
    </row>
    <row r="296" spans="8:8">
      <c r="H296" s="187"/>
    </row>
    <row r="297" spans="8:8">
      <c r="H297" s="187"/>
    </row>
    <row r="298" spans="8:8">
      <c r="H298" s="187"/>
    </row>
    <row r="299" spans="8:8">
      <c r="H299" s="187"/>
    </row>
    <row r="300" spans="8:8">
      <c r="H300" s="187"/>
    </row>
    <row r="301" spans="8:8">
      <c r="H301" s="187"/>
    </row>
    <row r="302" spans="8:8">
      <c r="H302" s="187"/>
    </row>
    <row r="303" spans="8:8">
      <c r="H303" s="187"/>
    </row>
    <row r="304" spans="8:8">
      <c r="H304" s="187"/>
    </row>
    <row r="305" spans="8:8">
      <c r="H305" s="187"/>
    </row>
    <row r="306" spans="8:8">
      <c r="H306" s="187"/>
    </row>
    <row r="307" spans="8:8">
      <c r="H307" s="187"/>
    </row>
    <row r="308" spans="8:8">
      <c r="H308" s="187"/>
    </row>
    <row r="309" spans="8:8">
      <c r="H309" s="187"/>
    </row>
    <row r="310" spans="8:8">
      <c r="H310" s="187"/>
    </row>
    <row r="311" spans="8:8">
      <c r="H311" s="187"/>
    </row>
    <row r="312" spans="8:8">
      <c r="H312" s="187"/>
    </row>
    <row r="313" spans="8:8">
      <c r="H313" s="187"/>
    </row>
    <row r="314" spans="8:8">
      <c r="H314" s="187"/>
    </row>
    <row r="315" spans="8:8">
      <c r="H315" s="187"/>
    </row>
    <row r="316" spans="8:8">
      <c r="H316" s="187"/>
    </row>
    <row r="317" spans="8:8">
      <c r="H317" s="187"/>
    </row>
    <row r="318" spans="8:8">
      <c r="H318" s="187"/>
    </row>
    <row r="319" spans="8:8">
      <c r="H319" s="187"/>
    </row>
    <row r="320" spans="8:8">
      <c r="H320" s="187"/>
    </row>
    <row r="321" spans="8:8">
      <c r="H321" s="187"/>
    </row>
    <row r="322" spans="8:8">
      <c r="H322" s="187"/>
    </row>
    <row r="323" spans="8:8">
      <c r="H323" s="187"/>
    </row>
    <row r="324" spans="8:8">
      <c r="H324" s="187"/>
    </row>
    <row r="325" spans="8:8">
      <c r="H325" s="187"/>
    </row>
    <row r="326" spans="8:8">
      <c r="H326" s="187"/>
    </row>
    <row r="327" spans="8:8">
      <c r="H327" s="187"/>
    </row>
    <row r="328" spans="8:8">
      <c r="H328" s="187"/>
    </row>
    <row r="329" spans="8:8">
      <c r="H329" s="187"/>
    </row>
    <row r="330" spans="8:8">
      <c r="H330" s="187"/>
    </row>
    <row r="331" spans="8:8">
      <c r="H331" s="187"/>
    </row>
    <row r="332" spans="8:8">
      <c r="H332" s="187"/>
    </row>
    <row r="333" spans="8:8">
      <c r="H333" s="187"/>
    </row>
    <row r="334" spans="8:8">
      <c r="H334" s="187"/>
    </row>
    <row r="335" spans="8:8">
      <c r="H335" s="187"/>
    </row>
    <row r="336" spans="8:8">
      <c r="H336" s="187"/>
    </row>
    <row r="337" spans="8:8">
      <c r="H337" s="187"/>
    </row>
    <row r="338" spans="8:8">
      <c r="H338" s="187"/>
    </row>
    <row r="339" spans="8:8">
      <c r="H339" s="187"/>
    </row>
    <row r="340" spans="8:8">
      <c r="H340" s="187"/>
    </row>
    <row r="341" spans="8:8">
      <c r="H341" s="187"/>
    </row>
    <row r="342" spans="8:8">
      <c r="H342" s="187"/>
    </row>
    <row r="343" spans="8:8">
      <c r="H343" s="187"/>
    </row>
    <row r="344" spans="8:8">
      <c r="H344" s="187"/>
    </row>
    <row r="345" spans="8:8">
      <c r="H345" s="187"/>
    </row>
    <row r="346" spans="8:8">
      <c r="H346" s="187"/>
    </row>
    <row r="347" spans="8:8">
      <c r="H347" s="187"/>
    </row>
    <row r="348" spans="8:8">
      <c r="H348" s="187"/>
    </row>
    <row r="349" spans="8:8">
      <c r="H349" s="187"/>
    </row>
    <row r="350" spans="8:8">
      <c r="H350" s="187"/>
    </row>
    <row r="351" spans="8:8">
      <c r="H351" s="187"/>
    </row>
    <row r="352" spans="8:8">
      <c r="H352" s="187"/>
    </row>
    <row r="353" spans="8:8">
      <c r="H353" s="187"/>
    </row>
    <row r="354" spans="8:8">
      <c r="H354" s="187"/>
    </row>
    <row r="355" spans="8:8">
      <c r="H355" s="187"/>
    </row>
    <row r="356" spans="8:8">
      <c r="H356" s="187"/>
    </row>
    <row r="357" spans="8:8">
      <c r="H357" s="187"/>
    </row>
    <row r="358" spans="8:8">
      <c r="H358" s="187"/>
    </row>
    <row r="359" spans="8:8">
      <c r="H359" s="187"/>
    </row>
    <row r="360" spans="8:8">
      <c r="H360" s="187"/>
    </row>
    <row r="361" spans="8:8">
      <c r="H361" s="187"/>
    </row>
    <row r="362" spans="8:8">
      <c r="H362" s="187"/>
    </row>
    <row r="363" spans="8:8">
      <c r="H363" s="187"/>
    </row>
    <row r="364" spans="8:8">
      <c r="H364" s="187"/>
    </row>
    <row r="365" spans="8:8">
      <c r="H365" s="187"/>
    </row>
    <row r="366" spans="8:8">
      <c r="H366" s="187"/>
    </row>
    <row r="367" spans="8:8">
      <c r="H367" s="187"/>
    </row>
    <row r="368" spans="8:8">
      <c r="H368" s="187"/>
    </row>
    <row r="369" spans="8:8">
      <c r="H369" s="187"/>
    </row>
    <row r="370" spans="8:8">
      <c r="H370" s="187"/>
    </row>
    <row r="371" spans="8:8">
      <c r="H371" s="187"/>
    </row>
    <row r="372" spans="8:8">
      <c r="H372" s="187"/>
    </row>
    <row r="373" spans="8:8">
      <c r="H373" s="187"/>
    </row>
    <row r="374" spans="8:8">
      <c r="H374" s="187"/>
    </row>
    <row r="375" spans="8:8">
      <c r="H375" s="187"/>
    </row>
    <row r="376" spans="8:8">
      <c r="H376" s="187"/>
    </row>
    <row r="377" spans="8:8">
      <c r="H377" s="187"/>
    </row>
    <row r="378" spans="8:8">
      <c r="H378" s="187"/>
    </row>
    <row r="379" spans="8:8">
      <c r="H379" s="187"/>
    </row>
    <row r="380" spans="8:8">
      <c r="H380" s="187"/>
    </row>
    <row r="381" spans="8:8">
      <c r="H381" s="187"/>
    </row>
    <row r="382" spans="8:8">
      <c r="H382" s="187"/>
    </row>
    <row r="383" spans="8:8">
      <c r="H383" s="187"/>
    </row>
    <row r="384" spans="8:8">
      <c r="H384" s="187"/>
    </row>
    <row r="385" spans="8:8">
      <c r="H385" s="187"/>
    </row>
    <row r="386" spans="8:8">
      <c r="H386" s="187"/>
    </row>
    <row r="387" spans="8:8">
      <c r="H387" s="187"/>
    </row>
    <row r="388" spans="8:8">
      <c r="H388" s="187"/>
    </row>
    <row r="389" spans="8:8">
      <c r="H389" s="187"/>
    </row>
    <row r="390" spans="8:8">
      <c r="H390" s="187"/>
    </row>
    <row r="391" spans="8:8">
      <c r="H391" s="187"/>
    </row>
    <row r="392" spans="8:8">
      <c r="H392" s="187"/>
    </row>
    <row r="393" spans="8:8">
      <c r="H393" s="187"/>
    </row>
    <row r="394" spans="8:8">
      <c r="H394" s="187"/>
    </row>
    <row r="395" spans="8:8">
      <c r="H395" s="187"/>
    </row>
    <row r="396" spans="8:8">
      <c r="H396" s="187"/>
    </row>
    <row r="397" spans="8:8">
      <c r="H397" s="187"/>
    </row>
    <row r="398" spans="8:8">
      <c r="H398" s="187"/>
    </row>
    <row r="399" spans="8:8">
      <c r="H399" s="187"/>
    </row>
    <row r="400" spans="8:8">
      <c r="H400" s="187"/>
    </row>
    <row r="401" spans="8:8">
      <c r="H401" s="187"/>
    </row>
    <row r="402" spans="8:8">
      <c r="H402" s="187"/>
    </row>
    <row r="403" spans="8:8">
      <c r="H403" s="187"/>
    </row>
    <row r="404" spans="8:8">
      <c r="H404" s="187"/>
    </row>
    <row r="405" spans="8:8">
      <c r="H405" s="187"/>
    </row>
    <row r="406" spans="8:8">
      <c r="H406" s="187"/>
    </row>
    <row r="407" spans="8:8">
      <c r="H407" s="187"/>
    </row>
    <row r="408" spans="8:8">
      <c r="H408" s="187"/>
    </row>
    <row r="409" spans="8:8">
      <c r="H409" s="187"/>
    </row>
    <row r="410" spans="8:8">
      <c r="H410" s="187"/>
    </row>
    <row r="411" spans="8:8">
      <c r="H411" s="187"/>
    </row>
    <row r="412" spans="8:8">
      <c r="H412" s="187"/>
    </row>
    <row r="413" spans="8:8">
      <c r="H413" s="187"/>
    </row>
    <row r="414" spans="8:8">
      <c r="H414" s="187"/>
    </row>
    <row r="415" spans="8:8">
      <c r="H415" s="187"/>
    </row>
    <row r="416" spans="8:8">
      <c r="H416" s="187"/>
    </row>
    <row r="417" spans="8:8">
      <c r="H417" s="187"/>
    </row>
    <row r="418" spans="8:8">
      <c r="H418" s="187"/>
    </row>
    <row r="419" spans="8:8">
      <c r="H419" s="187"/>
    </row>
    <row r="420" spans="8:8">
      <c r="H420" s="187"/>
    </row>
    <row r="421" spans="8:8">
      <c r="H421" s="187"/>
    </row>
    <row r="422" spans="8:8">
      <c r="H422" s="187"/>
    </row>
    <row r="423" spans="8:8">
      <c r="H423" s="187"/>
    </row>
    <row r="424" spans="8:8">
      <c r="H424" s="187"/>
    </row>
    <row r="425" spans="8:8">
      <c r="H425" s="187"/>
    </row>
    <row r="426" spans="8:8">
      <c r="H426" s="187"/>
    </row>
    <row r="427" spans="8:8">
      <c r="H427" s="187"/>
    </row>
    <row r="428" spans="8:8">
      <c r="H428" s="187"/>
    </row>
    <row r="429" spans="8:8">
      <c r="H429" s="187"/>
    </row>
    <row r="430" spans="8:8">
      <c r="H430" s="187"/>
    </row>
    <row r="431" spans="8:8">
      <c r="H431" s="187"/>
    </row>
    <row r="432" spans="8:8">
      <c r="H432" s="187"/>
    </row>
  </sheetData>
  <mergeCells count="10">
    <mergeCell ref="A1:I1"/>
    <mergeCell ref="A2:E2"/>
    <mergeCell ref="A3:I3"/>
    <mergeCell ref="A21:I21"/>
    <mergeCell ref="A36:E36"/>
    <mergeCell ref="A45:E45"/>
    <mergeCell ref="A46:I46"/>
    <mergeCell ref="B57:D57"/>
    <mergeCell ref="B58:G58"/>
    <mergeCell ref="A37:I37"/>
  </mergeCells>
  <pageMargins left="0.7" right="0.7" top="0.75" bottom="0.75" header="0.3" footer="0.3"/>
  <pageSetup paperSize="9" scale="51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G78"/>
  <sheetViews>
    <sheetView workbookViewId="0">
      <selection activeCell="BI41" sqref="BI41"/>
    </sheetView>
  </sheetViews>
  <sheetFormatPr defaultColWidth="9.140625" defaultRowHeight="12"/>
  <cols>
    <col min="1" max="1" width="2.7109375" style="1" customWidth="1"/>
    <col min="2" max="3" width="2" style="1" customWidth="1"/>
    <col min="4" max="4" width="8.5703125" style="1" customWidth="1"/>
    <col min="5" max="15" width="2" style="1" customWidth="1"/>
    <col min="16" max="16" width="4.42578125" style="1" customWidth="1"/>
    <col min="17" max="18" width="2" style="1" customWidth="1"/>
    <col min="19" max="19" width="3.140625" style="1" customWidth="1"/>
    <col min="20" max="37" width="2" style="1" customWidth="1"/>
    <col min="38" max="38" width="0.28515625" style="1" customWidth="1"/>
    <col min="39" max="50" width="2" style="1" customWidth="1"/>
    <col min="51" max="51" width="9.5703125" style="1" bestFit="1" customWidth="1"/>
    <col min="52" max="16384" width="9.140625" style="1"/>
  </cols>
  <sheetData>
    <row r="1" spans="1:59" ht="14.1" customHeight="1">
      <c r="O1" s="2"/>
      <c r="P1" s="242" t="s">
        <v>371</v>
      </c>
      <c r="Q1" s="242"/>
      <c r="R1" s="242"/>
      <c r="S1" s="242"/>
      <c r="T1" s="242"/>
      <c r="U1" s="242"/>
      <c r="V1" s="242"/>
      <c r="W1" s="238"/>
      <c r="X1" s="238"/>
      <c r="Y1" s="238"/>
      <c r="Z1" s="238"/>
      <c r="AA1" s="238"/>
      <c r="AB1" s="238"/>
      <c r="AC1" s="238"/>
      <c r="AD1" s="238"/>
    </row>
    <row r="2" spans="1:59" ht="14.1" customHeight="1">
      <c r="A2" s="237" t="s">
        <v>372</v>
      </c>
      <c r="B2" s="237"/>
      <c r="C2" s="237"/>
      <c r="D2" s="243"/>
      <c r="E2" s="243"/>
      <c r="F2" s="243"/>
      <c r="G2" s="243"/>
      <c r="H2" s="243"/>
      <c r="I2" s="3"/>
      <c r="J2" s="3"/>
      <c r="K2" s="3"/>
      <c r="L2" s="3"/>
      <c r="N2" s="4"/>
      <c r="O2" s="4"/>
      <c r="P2" s="4"/>
      <c r="Q2" s="4"/>
      <c r="R2" s="4"/>
      <c r="S2" s="4"/>
      <c r="T2" s="4"/>
      <c r="V2" s="4"/>
      <c r="Z2" s="237" t="s">
        <v>373</v>
      </c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5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</row>
    <row r="3" spans="1:59" ht="14.1" customHeight="1">
      <c r="A3" s="237" t="s">
        <v>374</v>
      </c>
      <c r="B3" s="237"/>
      <c r="C3" s="237"/>
      <c r="D3" s="237"/>
      <c r="E3" s="237"/>
      <c r="F3" s="238" t="s">
        <v>375</v>
      </c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V3" s="2"/>
      <c r="Z3" s="237" t="s">
        <v>376</v>
      </c>
      <c r="AA3" s="237"/>
      <c r="AB3" s="237"/>
      <c r="AC3" s="237"/>
      <c r="AD3" s="239"/>
      <c r="AE3" s="239"/>
      <c r="AF3" s="239"/>
      <c r="AG3" s="239"/>
      <c r="AH3" s="239"/>
      <c r="AI3" s="239"/>
      <c r="AJ3" s="239"/>
      <c r="AK3" s="239"/>
      <c r="AL3" s="239"/>
      <c r="AM3" s="239"/>
    </row>
    <row r="4" spans="1:59" ht="13.5" customHeight="1">
      <c r="A4" s="6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AJ4" s="240" t="s">
        <v>377</v>
      </c>
      <c r="AK4" s="240"/>
      <c r="AL4" s="7"/>
      <c r="AM4" s="241" t="s">
        <v>378</v>
      </c>
      <c r="AN4" s="241"/>
    </row>
    <row r="5" spans="1:59" ht="14.1" customHeight="1">
      <c r="A5" s="237" t="s">
        <v>379</v>
      </c>
      <c r="B5" s="237"/>
      <c r="C5" s="237"/>
      <c r="D5" s="237"/>
      <c r="E5" s="237"/>
      <c r="F5" s="237"/>
      <c r="G5" s="237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45" t="s">
        <v>380</v>
      </c>
      <c r="AB5" s="245"/>
      <c r="AC5" s="245"/>
      <c r="AD5" s="245"/>
      <c r="AE5" s="246"/>
      <c r="AF5" s="246"/>
      <c r="AG5" s="246"/>
      <c r="AH5" s="246"/>
      <c r="AI5" s="246"/>
      <c r="AJ5" s="247"/>
      <c r="AK5" s="8"/>
      <c r="AL5" s="4"/>
      <c r="AM5" s="8"/>
      <c r="AN5" s="248" t="s">
        <v>381</v>
      </c>
      <c r="AO5" s="245"/>
      <c r="AP5" s="245"/>
      <c r="AQ5" s="245"/>
      <c r="AR5" s="245"/>
      <c r="AS5" s="246"/>
      <c r="AT5" s="246"/>
      <c r="AU5" s="246"/>
      <c r="AV5" s="246"/>
      <c r="AW5" s="246"/>
      <c r="AX5" s="246"/>
    </row>
    <row r="6" spans="1:59" ht="1.5" customHeight="1">
      <c r="A6" s="9"/>
      <c r="B6" s="9"/>
      <c r="C6" s="9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2"/>
      <c r="S6" s="11"/>
      <c r="T6" s="11"/>
      <c r="U6" s="11"/>
      <c r="V6" s="11"/>
      <c r="W6" s="10"/>
      <c r="AB6" s="12"/>
      <c r="AK6" s="10"/>
      <c r="AL6" s="10"/>
      <c r="AM6" s="10"/>
      <c r="AN6" s="12"/>
      <c r="AT6" s="13"/>
      <c r="AU6" s="13"/>
      <c r="AV6" s="13"/>
    </row>
    <row r="7" spans="1:59" ht="14.1" customHeight="1">
      <c r="A7" s="237" t="s">
        <v>382</v>
      </c>
      <c r="B7" s="237"/>
      <c r="C7" s="237"/>
      <c r="D7" s="237"/>
      <c r="E7" s="237"/>
      <c r="F7" s="237"/>
      <c r="G7" s="237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45" t="s">
        <v>380</v>
      </c>
      <c r="AB7" s="245"/>
      <c r="AC7" s="245"/>
      <c r="AD7" s="245"/>
      <c r="AE7" s="246" t="s">
        <v>383</v>
      </c>
      <c r="AF7" s="246"/>
      <c r="AG7" s="246"/>
      <c r="AH7" s="246"/>
      <c r="AI7" s="246"/>
      <c r="AJ7" s="247"/>
      <c r="AK7" s="8" t="s">
        <v>384</v>
      </c>
      <c r="AL7" s="4"/>
      <c r="AM7" s="8"/>
      <c r="AN7" s="248" t="s">
        <v>381</v>
      </c>
      <c r="AO7" s="245"/>
      <c r="AP7" s="245"/>
      <c r="AQ7" s="245"/>
      <c r="AR7" s="245"/>
      <c r="AS7" s="246" t="s">
        <v>385</v>
      </c>
      <c r="AT7" s="246"/>
      <c r="AU7" s="246"/>
      <c r="AV7" s="246"/>
      <c r="AW7" s="246"/>
      <c r="AX7" s="246"/>
    </row>
    <row r="8" spans="1:59" ht="1.5" customHeight="1">
      <c r="A8" s="9"/>
      <c r="B8" s="9"/>
      <c r="C8" s="9"/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"/>
      <c r="S8" s="4"/>
      <c r="T8" s="11"/>
      <c r="U8" s="11"/>
      <c r="V8" s="11"/>
      <c r="W8" s="10"/>
      <c r="AB8" s="12"/>
      <c r="AK8" s="10"/>
      <c r="AL8" s="10"/>
      <c r="AM8" s="10"/>
      <c r="AN8" s="12"/>
      <c r="AT8" s="10"/>
      <c r="AU8" s="10"/>
      <c r="AV8" s="10"/>
    </row>
    <row r="9" spans="1:59" ht="14.1" customHeight="1">
      <c r="A9" s="237" t="s">
        <v>386</v>
      </c>
      <c r="B9" s="237"/>
      <c r="C9" s="237"/>
      <c r="D9" s="237"/>
      <c r="E9" s="237"/>
      <c r="F9" s="237"/>
      <c r="G9" s="237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A9" s="245" t="s">
        <v>380</v>
      </c>
      <c r="AB9" s="245"/>
      <c r="AC9" s="245"/>
      <c r="AD9" s="245"/>
      <c r="AE9" s="246"/>
      <c r="AF9" s="246"/>
      <c r="AG9" s="246"/>
      <c r="AH9" s="246"/>
      <c r="AI9" s="246"/>
      <c r="AJ9" s="247"/>
      <c r="AK9" s="8"/>
      <c r="AL9" s="4"/>
      <c r="AM9" s="8"/>
      <c r="AN9" s="248" t="s">
        <v>381</v>
      </c>
      <c r="AO9" s="245"/>
      <c r="AP9" s="245"/>
      <c r="AQ9" s="245"/>
      <c r="AR9" s="245"/>
      <c r="AS9" s="246"/>
      <c r="AT9" s="246"/>
      <c r="AU9" s="246"/>
      <c r="AV9" s="246"/>
      <c r="AW9" s="246"/>
      <c r="AX9" s="246"/>
    </row>
    <row r="10" spans="1:59" ht="1.5" customHeight="1">
      <c r="A10" s="9"/>
      <c r="B10" s="9"/>
      <c r="C10" s="9"/>
      <c r="D10" s="9"/>
      <c r="E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2"/>
      <c r="S10" s="4"/>
      <c r="T10" s="11"/>
      <c r="U10" s="11"/>
      <c r="V10" s="11"/>
      <c r="W10" s="10"/>
      <c r="AB10" s="12"/>
      <c r="AK10" s="10"/>
      <c r="AL10" s="10"/>
      <c r="AM10" s="10"/>
      <c r="AN10" s="12"/>
      <c r="AT10" s="10"/>
      <c r="AU10" s="10"/>
      <c r="AV10" s="10"/>
    </row>
    <row r="11" spans="1:59" ht="14.1" customHeight="1">
      <c r="A11" s="237" t="s">
        <v>387</v>
      </c>
      <c r="B11" s="237"/>
      <c r="C11" s="237"/>
      <c r="D11" s="237"/>
      <c r="E11" s="237"/>
      <c r="F11" s="237"/>
      <c r="G11" s="237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8"/>
      <c r="T11" s="238"/>
      <c r="U11" s="238"/>
      <c r="V11" s="238"/>
      <c r="W11" s="238"/>
      <c r="X11" s="238"/>
      <c r="Y11" s="238"/>
      <c r="Z11" s="238"/>
      <c r="AA11" s="245" t="s">
        <v>380</v>
      </c>
      <c r="AB11" s="245"/>
      <c r="AC11" s="245"/>
      <c r="AD11" s="245"/>
      <c r="AE11" s="246"/>
      <c r="AF11" s="246"/>
      <c r="AG11" s="246"/>
      <c r="AH11" s="246"/>
      <c r="AI11" s="246"/>
      <c r="AJ11" s="247"/>
      <c r="AK11" s="8"/>
      <c r="AL11" s="4"/>
      <c r="AM11" s="8"/>
      <c r="AN11" s="248" t="s">
        <v>381</v>
      </c>
      <c r="AO11" s="245"/>
      <c r="AP11" s="245"/>
      <c r="AQ11" s="245"/>
      <c r="AR11" s="245"/>
      <c r="AS11" s="246"/>
      <c r="AT11" s="246"/>
      <c r="AU11" s="246"/>
      <c r="AV11" s="246"/>
      <c r="AW11" s="246"/>
      <c r="AX11" s="246"/>
    </row>
    <row r="12" spans="1:59" ht="1.5" customHeight="1">
      <c r="A12" s="5"/>
      <c r="B12" s="5"/>
      <c r="C12" s="5"/>
      <c r="D12" s="5"/>
      <c r="E12" s="5"/>
      <c r="F12" s="5"/>
      <c r="G12" s="5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2"/>
      <c r="AB12" s="12"/>
      <c r="AC12" s="12"/>
      <c r="AD12" s="12"/>
      <c r="AE12" s="14"/>
      <c r="AF12" s="14"/>
      <c r="AG12" s="14"/>
      <c r="AH12" s="14"/>
      <c r="AI12" s="14"/>
      <c r="AJ12" s="3"/>
      <c r="AK12" s="4"/>
      <c r="AL12" s="4"/>
      <c r="AM12" s="4"/>
      <c r="AN12" s="12"/>
      <c r="AO12" s="12"/>
      <c r="AP12" s="12"/>
      <c r="AQ12" s="12"/>
      <c r="AR12" s="12"/>
      <c r="AS12" s="3"/>
      <c r="AT12" s="3"/>
      <c r="AU12" s="3"/>
      <c r="AV12" s="3"/>
      <c r="AW12" s="3"/>
      <c r="AX12" s="15"/>
    </row>
    <row r="13" spans="1:59" ht="36.75" customHeight="1">
      <c r="A13" s="2" t="s">
        <v>388</v>
      </c>
      <c r="B13" s="2"/>
      <c r="C13" s="2"/>
      <c r="D13" s="2"/>
      <c r="E13" s="2"/>
      <c r="F13" s="245" t="s">
        <v>389</v>
      </c>
      <c r="G13" s="245"/>
      <c r="H13" s="245"/>
      <c r="I13" s="245"/>
      <c r="J13" s="245"/>
      <c r="K13" s="245"/>
      <c r="L13" s="253"/>
      <c r="M13" s="253"/>
      <c r="N13" s="253"/>
      <c r="O13" s="253"/>
      <c r="P13" s="253"/>
      <c r="Q13" s="245" t="s">
        <v>390</v>
      </c>
      <c r="R13" s="245"/>
      <c r="S13" s="245"/>
      <c r="T13" s="245"/>
      <c r="U13" s="245"/>
      <c r="V13" s="238"/>
      <c r="W13" s="238"/>
      <c r="X13" s="238"/>
      <c r="Y13" s="238"/>
      <c r="Z13" s="238"/>
      <c r="AA13" s="238"/>
      <c r="AB13" s="245" t="s">
        <v>391</v>
      </c>
      <c r="AC13" s="245"/>
      <c r="AD13" s="245"/>
      <c r="AE13" s="246"/>
      <c r="AF13" s="246"/>
      <c r="AG13" s="246"/>
      <c r="AH13" s="246"/>
      <c r="AI13" s="246"/>
      <c r="AJ13" s="246"/>
      <c r="AK13" s="249" t="s">
        <v>392</v>
      </c>
      <c r="AL13" s="249"/>
      <c r="AM13" s="249"/>
      <c r="AN13" s="249"/>
      <c r="AO13" s="249"/>
      <c r="AP13" s="249"/>
      <c r="AQ13" s="249"/>
      <c r="AR13" s="249"/>
      <c r="AS13" s="245" t="s">
        <v>393</v>
      </c>
      <c r="AT13" s="250"/>
      <c r="AU13" s="16"/>
      <c r="AV13" s="248" t="s">
        <v>394</v>
      </c>
      <c r="AW13" s="250"/>
      <c r="AX13" s="17"/>
      <c r="BG13" s="1" t="s">
        <v>464</v>
      </c>
    </row>
    <row r="14" spans="1:59" ht="14.1" customHeight="1">
      <c r="A14" s="237" t="s">
        <v>395</v>
      </c>
      <c r="B14" s="237"/>
      <c r="C14" s="237"/>
      <c r="D14" s="237"/>
      <c r="E14" s="237"/>
      <c r="F14" s="237"/>
      <c r="G14" s="237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51" t="s">
        <v>396</v>
      </c>
      <c r="AG14" s="251"/>
      <c r="AH14" s="251"/>
      <c r="AI14" s="251"/>
      <c r="AJ14" s="246"/>
      <c r="AK14" s="246"/>
      <c r="AM14" s="245" t="s">
        <v>380</v>
      </c>
      <c r="AN14" s="245"/>
      <c r="AO14" s="245"/>
      <c r="AP14" s="245"/>
      <c r="AQ14" s="252"/>
      <c r="AR14" s="252"/>
      <c r="AS14" s="252"/>
      <c r="AT14" s="252"/>
      <c r="AU14" s="252"/>
      <c r="AV14" s="252"/>
      <c r="AW14" s="252"/>
      <c r="AX14" s="252"/>
      <c r="BG14" s="1" t="s">
        <v>465</v>
      </c>
    </row>
    <row r="15" spans="1:59" ht="14.1" customHeight="1">
      <c r="A15" s="237" t="s">
        <v>397</v>
      </c>
      <c r="B15" s="237"/>
      <c r="C15" s="237"/>
      <c r="D15" s="237"/>
      <c r="E15" s="237"/>
      <c r="F15" s="237"/>
      <c r="G15" s="237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45" t="s">
        <v>396</v>
      </c>
      <c r="AG15" s="245"/>
      <c r="AH15" s="245"/>
      <c r="AI15" s="245"/>
      <c r="AJ15" s="255"/>
      <c r="AK15" s="255"/>
      <c r="AM15" s="245" t="s">
        <v>380</v>
      </c>
      <c r="AN15" s="245"/>
      <c r="AO15" s="245"/>
      <c r="AP15" s="245"/>
      <c r="AQ15" s="256"/>
      <c r="AR15" s="256"/>
      <c r="AS15" s="256"/>
      <c r="AT15" s="256"/>
      <c r="AU15" s="256"/>
      <c r="AV15" s="256"/>
      <c r="AW15" s="256"/>
      <c r="AX15" s="256"/>
      <c r="BG15" s="1" t="s">
        <v>466</v>
      </c>
    </row>
    <row r="16" spans="1:59" ht="14.1" customHeight="1">
      <c r="A16" s="237" t="s">
        <v>398</v>
      </c>
      <c r="B16" s="237"/>
      <c r="C16" s="237"/>
      <c r="D16" s="237"/>
      <c r="E16" s="237"/>
      <c r="F16" s="237"/>
      <c r="G16" s="237"/>
      <c r="H16" s="237"/>
      <c r="I16" s="237"/>
      <c r="J16" s="237"/>
      <c r="K16" s="237"/>
      <c r="L16" s="254"/>
      <c r="M16" s="254"/>
      <c r="N16" s="254"/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254"/>
      <c r="AB16" s="254"/>
      <c r="AC16" s="254"/>
      <c r="AD16" s="254"/>
      <c r="AE16" s="254"/>
      <c r="AF16" s="254"/>
      <c r="AG16" s="254"/>
      <c r="AH16" s="245" t="s">
        <v>380</v>
      </c>
      <c r="AI16" s="245"/>
      <c r="AJ16" s="245"/>
      <c r="AK16" s="245"/>
      <c r="AL16" s="5"/>
      <c r="AM16" s="246" t="s">
        <v>383</v>
      </c>
      <c r="AN16" s="246"/>
      <c r="AO16" s="246"/>
      <c r="AP16" s="246"/>
      <c r="AQ16" s="246"/>
      <c r="AR16" s="246"/>
      <c r="AS16" s="251" t="s">
        <v>396</v>
      </c>
      <c r="AT16" s="251"/>
      <c r="AU16" s="251"/>
      <c r="AV16" s="251"/>
      <c r="AW16" s="255">
        <v>0.8</v>
      </c>
      <c r="AX16" s="255"/>
      <c r="BG16" s="1" t="s">
        <v>467</v>
      </c>
    </row>
    <row r="17" spans="1:52" ht="14.1" customHeight="1">
      <c r="A17" s="237" t="s">
        <v>399</v>
      </c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45" t="s">
        <v>380</v>
      </c>
      <c r="AI17" s="245"/>
      <c r="AJ17" s="245"/>
      <c r="AK17" s="245"/>
      <c r="AL17" s="5"/>
      <c r="AM17" s="255"/>
      <c r="AN17" s="255"/>
      <c r="AO17" s="255"/>
      <c r="AP17" s="255"/>
      <c r="AQ17" s="255"/>
      <c r="AR17" s="255"/>
      <c r="AS17" s="245" t="s">
        <v>396</v>
      </c>
      <c r="AT17" s="245"/>
      <c r="AU17" s="245"/>
      <c r="AV17" s="245"/>
      <c r="AW17" s="255"/>
      <c r="AX17" s="255"/>
    </row>
    <row r="18" spans="1:52" ht="14.1" customHeight="1">
      <c r="A18" s="237" t="s">
        <v>400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7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45" t="s">
        <v>380</v>
      </c>
      <c r="AI18" s="245"/>
      <c r="AJ18" s="245"/>
      <c r="AK18" s="245"/>
      <c r="AL18" s="5"/>
      <c r="AM18" s="255"/>
      <c r="AN18" s="255"/>
      <c r="AO18" s="255"/>
      <c r="AP18" s="255"/>
      <c r="AQ18" s="255"/>
      <c r="AR18" s="255"/>
      <c r="AS18" s="245" t="s">
        <v>396</v>
      </c>
      <c r="AT18" s="245"/>
      <c r="AU18" s="245"/>
      <c r="AV18" s="245"/>
      <c r="AW18" s="255"/>
      <c r="AX18" s="255"/>
    </row>
    <row r="19" spans="1:52" ht="14.1" customHeight="1">
      <c r="A19" s="237" t="s">
        <v>401</v>
      </c>
      <c r="B19" s="237"/>
      <c r="C19" s="237"/>
      <c r="D19" s="237"/>
      <c r="E19" s="237"/>
      <c r="F19" s="237"/>
      <c r="G19" s="237"/>
      <c r="H19" s="237"/>
      <c r="I19" s="237"/>
      <c r="J19" s="237"/>
      <c r="K19" s="237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45" t="s">
        <v>380</v>
      </c>
      <c r="AI19" s="245"/>
      <c r="AJ19" s="245"/>
      <c r="AK19" s="245"/>
      <c r="AL19" s="5"/>
      <c r="AM19" s="255"/>
      <c r="AN19" s="255"/>
      <c r="AO19" s="255"/>
      <c r="AP19" s="255"/>
      <c r="AQ19" s="255"/>
      <c r="AR19" s="255"/>
      <c r="AS19" s="245" t="s">
        <v>396</v>
      </c>
      <c r="AT19" s="245"/>
      <c r="AU19" s="245"/>
      <c r="AV19" s="245"/>
      <c r="AW19" s="255"/>
      <c r="AX19" s="255"/>
    </row>
    <row r="20" spans="1:52" ht="23.25" customHeight="1">
      <c r="A20" s="237" t="s">
        <v>402</v>
      </c>
      <c r="B20" s="237"/>
      <c r="C20" s="237"/>
      <c r="D20" s="237"/>
      <c r="E20" s="237"/>
      <c r="F20" s="237"/>
      <c r="G20" s="238"/>
      <c r="H20" s="238"/>
      <c r="I20" s="238"/>
      <c r="J20" s="238"/>
      <c r="K20" s="238"/>
      <c r="L20" s="238"/>
      <c r="M20" s="238"/>
      <c r="N20" s="238"/>
      <c r="O20" s="238"/>
      <c r="Q20" s="18"/>
      <c r="R20" s="257" t="s">
        <v>403</v>
      </c>
      <c r="S20" s="257"/>
      <c r="T20" s="257"/>
      <c r="U20" s="257"/>
      <c r="V20" s="257"/>
      <c r="W20" s="257"/>
      <c r="X20" s="254"/>
      <c r="Y20" s="254"/>
      <c r="Z20" s="254"/>
      <c r="AA20" s="254"/>
      <c r="AB20" s="254"/>
      <c r="AC20" s="254"/>
      <c r="AD20" s="254"/>
      <c r="AE20" s="254"/>
      <c r="AF20" s="254"/>
      <c r="AI20" s="237" t="s">
        <v>404</v>
      </c>
      <c r="AJ20" s="237"/>
      <c r="AK20" s="237"/>
      <c r="AL20" s="5"/>
      <c r="AM20" s="238"/>
      <c r="AN20" s="238"/>
      <c r="AO20" s="238"/>
      <c r="AP20" s="238"/>
      <c r="AQ20" s="238"/>
      <c r="AR20" s="238"/>
      <c r="AS20" s="238"/>
      <c r="AT20" s="238"/>
      <c r="AU20" s="238"/>
    </row>
    <row r="21" spans="1:52" ht="1.5" customHeight="1">
      <c r="A21" s="19"/>
      <c r="B21" s="19"/>
      <c r="C21" s="19"/>
      <c r="D21" s="19"/>
      <c r="E21" s="10"/>
      <c r="F21" s="10"/>
      <c r="G21" s="10"/>
      <c r="H21" s="10"/>
      <c r="I21" s="10"/>
      <c r="J21" s="10"/>
      <c r="L21" s="19"/>
      <c r="M21" s="19"/>
      <c r="N21" s="19"/>
      <c r="O21" s="19"/>
      <c r="P21" s="10"/>
      <c r="Q21" s="10"/>
      <c r="R21" s="10"/>
      <c r="S21" s="10"/>
      <c r="T21" s="10"/>
      <c r="U21" s="10"/>
      <c r="V21" s="10"/>
      <c r="W21" s="10"/>
      <c r="X21" s="9"/>
      <c r="Y21" s="9"/>
      <c r="Z21" s="11"/>
      <c r="AA21" s="11"/>
      <c r="AB21" s="11"/>
      <c r="AC21" s="11"/>
      <c r="AD21" s="11"/>
      <c r="AE21" s="11"/>
    </row>
    <row r="22" spans="1:52" ht="13.5" customHeight="1">
      <c r="A22" s="237" t="s">
        <v>405</v>
      </c>
      <c r="B22" s="237"/>
      <c r="C22" s="237"/>
      <c r="D22" s="237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10"/>
      <c r="R22" s="245" t="s">
        <v>396</v>
      </c>
      <c r="S22" s="245"/>
      <c r="T22" s="245"/>
      <c r="U22" s="245"/>
      <c r="V22" s="238"/>
      <c r="W22" s="238"/>
      <c r="X22" s="238"/>
      <c r="Y22" s="9"/>
      <c r="Z22" s="258" t="s">
        <v>406</v>
      </c>
      <c r="AA22" s="258"/>
      <c r="AB22" s="258"/>
      <c r="AC22" s="258"/>
      <c r="AD22" s="259"/>
      <c r="AE22" s="17"/>
      <c r="AH22" s="258" t="s">
        <v>407</v>
      </c>
      <c r="AI22" s="258"/>
      <c r="AJ22" s="258"/>
      <c r="AK22" s="258"/>
      <c r="AL22" s="258"/>
      <c r="AM22" s="259"/>
      <c r="AN22" s="16"/>
    </row>
    <row r="23" spans="1:52" ht="1.5" customHeight="1">
      <c r="A23" s="19"/>
      <c r="B23" s="19"/>
      <c r="C23" s="19"/>
      <c r="D23" s="19"/>
      <c r="E23" s="10"/>
      <c r="F23" s="10"/>
      <c r="G23" s="10"/>
      <c r="H23" s="10"/>
      <c r="I23" s="10"/>
      <c r="J23" s="10"/>
      <c r="L23" s="19"/>
      <c r="M23" s="19"/>
      <c r="N23" s="19"/>
      <c r="O23" s="19"/>
      <c r="P23" s="10"/>
      <c r="Q23" s="10"/>
      <c r="R23" s="10"/>
      <c r="S23" s="10"/>
      <c r="T23" s="10"/>
      <c r="U23" s="10"/>
      <c r="V23" s="10"/>
      <c r="W23" s="10"/>
      <c r="X23" s="9"/>
      <c r="Y23" s="9"/>
      <c r="Z23" s="11"/>
      <c r="AA23" s="11"/>
      <c r="AB23" s="11"/>
      <c r="AC23" s="11"/>
      <c r="AD23" s="11"/>
      <c r="AE23" s="11"/>
    </row>
    <row r="24" spans="1:52" ht="13.5" customHeight="1">
      <c r="A24" s="237" t="s">
        <v>408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37"/>
      <c r="L24" s="237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5" t="s">
        <v>409</v>
      </c>
      <c r="AA24" s="5"/>
      <c r="AB24" s="5"/>
      <c r="AC24" s="253"/>
      <c r="AD24" s="253"/>
      <c r="AE24" s="253"/>
      <c r="AF24" s="253"/>
      <c r="AG24" s="245" t="s">
        <v>410</v>
      </c>
      <c r="AH24" s="245"/>
      <c r="AI24" s="245"/>
      <c r="AJ24" s="250"/>
      <c r="AK24" s="20"/>
      <c r="AM24" s="237" t="s">
        <v>411</v>
      </c>
      <c r="AN24" s="237"/>
      <c r="AO24" s="237"/>
      <c r="AP24" s="237"/>
      <c r="AQ24" s="252"/>
      <c r="AR24" s="252"/>
      <c r="AS24" s="252"/>
      <c r="AT24" s="252"/>
      <c r="AU24" s="252"/>
      <c r="AV24" s="252"/>
      <c r="AW24" s="252"/>
      <c r="AX24" s="252"/>
      <c r="AZ24" s="21"/>
    </row>
    <row r="25" spans="1:52" ht="1.5" customHeight="1">
      <c r="I25" s="2"/>
      <c r="N25" s="18"/>
      <c r="O25" s="18"/>
      <c r="P25" s="18"/>
      <c r="Q25" s="18"/>
      <c r="Y25" s="4"/>
      <c r="Z25" s="5"/>
      <c r="AA25" s="5"/>
      <c r="AB25" s="5"/>
      <c r="AC25" s="22"/>
      <c r="AD25" s="22"/>
      <c r="AE25" s="22"/>
      <c r="AF25" s="22"/>
      <c r="AI25" s="5"/>
      <c r="AJ25" s="5"/>
      <c r="AK25" s="10"/>
      <c r="AL25" s="5"/>
      <c r="AM25" s="4"/>
      <c r="AN25" s="4"/>
      <c r="AO25" s="4"/>
      <c r="AP25" s="4"/>
      <c r="AQ25" s="4"/>
      <c r="AR25" s="4"/>
      <c r="AS25" s="4"/>
    </row>
    <row r="26" spans="1:52" ht="13.5" customHeight="1">
      <c r="A26" s="237" t="s">
        <v>412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5" t="s">
        <v>413</v>
      </c>
      <c r="AA26" s="5"/>
      <c r="AB26" s="5"/>
      <c r="AC26" s="253"/>
      <c r="AD26" s="253"/>
      <c r="AE26" s="253"/>
      <c r="AF26" s="253"/>
      <c r="AG26" s="245" t="s">
        <v>410</v>
      </c>
      <c r="AH26" s="245"/>
      <c r="AI26" s="245"/>
      <c r="AJ26" s="250"/>
      <c r="AK26" s="20"/>
      <c r="AM26" s="237" t="s">
        <v>414</v>
      </c>
      <c r="AN26" s="237"/>
      <c r="AO26" s="237"/>
      <c r="AP26" s="237"/>
      <c r="AQ26" s="252"/>
      <c r="AR26" s="252"/>
      <c r="AS26" s="252"/>
      <c r="AT26" s="252"/>
      <c r="AU26" s="252"/>
      <c r="AV26" s="252"/>
      <c r="AW26" s="252"/>
      <c r="AX26" s="252"/>
    </row>
    <row r="27" spans="1:52" ht="1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5"/>
      <c r="AA27" s="5"/>
      <c r="AB27" s="5"/>
      <c r="AC27" s="11"/>
      <c r="AD27" s="11"/>
      <c r="AE27" s="11"/>
      <c r="AF27" s="11"/>
      <c r="AG27" s="12"/>
      <c r="AH27" s="12"/>
      <c r="AI27" s="12"/>
      <c r="AJ27" s="12"/>
      <c r="AK27" s="10"/>
      <c r="AM27" s="5"/>
      <c r="AN27" s="5"/>
      <c r="AO27" s="5"/>
      <c r="AP27" s="5"/>
      <c r="AQ27" s="19"/>
      <c r="AR27" s="19"/>
      <c r="AS27" s="19"/>
      <c r="AT27" s="19"/>
      <c r="AU27" s="19"/>
      <c r="AV27" s="19"/>
      <c r="AW27" s="19"/>
      <c r="AX27" s="19"/>
    </row>
    <row r="28" spans="1:52" ht="13.5" customHeight="1">
      <c r="A28" s="237" t="s">
        <v>415</v>
      </c>
      <c r="B28" s="237"/>
      <c r="C28" s="237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45" t="s">
        <v>393</v>
      </c>
      <c r="S28" s="250"/>
      <c r="T28" s="16"/>
      <c r="U28" s="9"/>
      <c r="V28" s="245" t="s">
        <v>394</v>
      </c>
      <c r="W28" s="250"/>
      <c r="X28" s="16"/>
      <c r="Y28" s="23"/>
      <c r="Z28" s="237" t="s">
        <v>416</v>
      </c>
      <c r="AA28" s="237"/>
      <c r="AB28" s="237"/>
      <c r="AC28" s="237"/>
      <c r="AD28" s="253"/>
      <c r="AE28" s="253"/>
      <c r="AF28" s="253"/>
      <c r="AG28" s="253"/>
      <c r="AH28" s="253"/>
      <c r="AI28" s="253"/>
      <c r="AJ28" s="253"/>
      <c r="AK28" s="253"/>
      <c r="AL28" s="5"/>
      <c r="AM28" s="5"/>
      <c r="AN28" s="5"/>
      <c r="AO28" s="5"/>
      <c r="AP28" s="19"/>
      <c r="AQ28" s="19"/>
      <c r="AR28" s="19"/>
      <c r="AS28" s="19"/>
      <c r="AT28" s="19"/>
      <c r="AU28" s="19"/>
      <c r="AV28" s="19"/>
      <c r="AW28" s="19"/>
      <c r="AZ28" s="21"/>
    </row>
    <row r="29" spans="1:52" ht="13.5" customHeight="1">
      <c r="A29" s="237" t="s">
        <v>417</v>
      </c>
      <c r="B29" s="237"/>
      <c r="C29" s="237"/>
      <c r="D29" s="237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/>
      <c r="P29" s="253"/>
      <c r="Q29" s="253"/>
      <c r="R29" s="253"/>
      <c r="S29" s="253"/>
      <c r="T29" s="253"/>
      <c r="U29" s="253"/>
      <c r="V29" s="253"/>
      <c r="W29" s="253"/>
      <c r="X29" s="253"/>
      <c r="Y29" s="253"/>
      <c r="Z29" s="253"/>
      <c r="AA29" s="253"/>
      <c r="AB29" s="253"/>
      <c r="AC29" s="253"/>
      <c r="AD29" s="253"/>
      <c r="AE29" s="253"/>
      <c r="AF29" s="253"/>
      <c r="AG29" s="253"/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  <c r="AX29" s="253"/>
    </row>
    <row r="30" spans="1:52" ht="4.5" customHeight="1">
      <c r="A30" s="5"/>
      <c r="B30" s="5"/>
      <c r="C30" s="5"/>
      <c r="D30" s="5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</row>
    <row r="31" spans="1:52" ht="14.1" customHeight="1">
      <c r="A31" s="260" t="s">
        <v>418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Z31" s="21"/>
    </row>
    <row r="32" spans="1:52" ht="14.1" customHeight="1">
      <c r="A32" s="261" t="s">
        <v>419</v>
      </c>
      <c r="B32" s="264" t="s">
        <v>420</v>
      </c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65"/>
      <c r="AL32" s="265"/>
      <c r="AM32" s="266"/>
      <c r="AN32" s="270" t="s">
        <v>421</v>
      </c>
      <c r="AO32" s="271"/>
      <c r="AP32" s="270" t="s">
        <v>422</v>
      </c>
      <c r="AQ32" s="272"/>
      <c r="AR32" s="272"/>
      <c r="AS32" s="271"/>
      <c r="AT32" s="270" t="s">
        <v>423</v>
      </c>
      <c r="AU32" s="272"/>
      <c r="AV32" s="272"/>
      <c r="AW32" s="272"/>
      <c r="AX32" s="271"/>
    </row>
    <row r="33" spans="1:54" ht="14.1" customHeight="1">
      <c r="A33" s="262"/>
      <c r="B33" s="267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9"/>
      <c r="AN33" s="273" t="s">
        <v>424</v>
      </c>
      <c r="AO33" s="276" t="s">
        <v>425</v>
      </c>
      <c r="AP33" s="279" t="s">
        <v>424</v>
      </c>
      <c r="AQ33" s="280"/>
      <c r="AR33" s="281" t="s">
        <v>425</v>
      </c>
      <c r="AS33" s="282"/>
      <c r="AT33" s="336" t="s">
        <v>426</v>
      </c>
      <c r="AU33" s="337"/>
      <c r="AV33" s="337"/>
      <c r="AW33" s="338"/>
      <c r="AX33" s="276" t="s">
        <v>427</v>
      </c>
    </row>
    <row r="34" spans="1:54" ht="14.1" customHeight="1">
      <c r="A34" s="262"/>
      <c r="B34" s="283" t="s">
        <v>428</v>
      </c>
      <c r="C34" s="284"/>
      <c r="D34" s="285"/>
      <c r="E34" s="292" t="s">
        <v>385</v>
      </c>
      <c r="F34" s="293"/>
      <c r="G34" s="294"/>
      <c r="H34" s="292" t="s">
        <v>429</v>
      </c>
      <c r="I34" s="293"/>
      <c r="J34" s="294"/>
      <c r="K34" s="292" t="s">
        <v>430</v>
      </c>
      <c r="L34" s="293"/>
      <c r="M34" s="294"/>
      <c r="N34" s="301" t="s">
        <v>431</v>
      </c>
      <c r="O34" s="284"/>
      <c r="P34" s="302"/>
      <c r="Q34" s="307" t="s">
        <v>13</v>
      </c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9"/>
      <c r="AN34" s="274"/>
      <c r="AO34" s="277"/>
      <c r="AP34" s="316" t="s">
        <v>432</v>
      </c>
      <c r="AQ34" s="317" t="s">
        <v>433</v>
      </c>
      <c r="AR34" s="317" t="s">
        <v>434</v>
      </c>
      <c r="AS34" s="330" t="s">
        <v>435</v>
      </c>
      <c r="AT34" s="339"/>
      <c r="AU34" s="340"/>
      <c r="AV34" s="340"/>
      <c r="AW34" s="341"/>
      <c r="AX34" s="277"/>
    </row>
    <row r="35" spans="1:54" ht="14.1" customHeight="1">
      <c r="A35" s="262"/>
      <c r="B35" s="286"/>
      <c r="C35" s="287"/>
      <c r="D35" s="288"/>
      <c r="E35" s="295"/>
      <c r="F35" s="296"/>
      <c r="G35" s="297"/>
      <c r="H35" s="295"/>
      <c r="I35" s="296"/>
      <c r="J35" s="297"/>
      <c r="K35" s="295"/>
      <c r="L35" s="296"/>
      <c r="M35" s="297"/>
      <c r="N35" s="303"/>
      <c r="O35" s="287"/>
      <c r="P35" s="304"/>
      <c r="Q35" s="310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1"/>
      <c r="AM35" s="312"/>
      <c r="AN35" s="274"/>
      <c r="AO35" s="277"/>
      <c r="AP35" s="274"/>
      <c r="AQ35" s="318"/>
      <c r="AR35" s="318"/>
      <c r="AS35" s="277"/>
      <c r="AT35" s="339"/>
      <c r="AU35" s="340"/>
      <c r="AV35" s="340"/>
      <c r="AW35" s="341"/>
      <c r="AX35" s="277"/>
    </row>
    <row r="36" spans="1:54" ht="14.1" customHeight="1">
      <c r="A36" s="262"/>
      <c r="B36" s="286"/>
      <c r="C36" s="287"/>
      <c r="D36" s="288"/>
      <c r="E36" s="295"/>
      <c r="F36" s="296"/>
      <c r="G36" s="297"/>
      <c r="H36" s="295"/>
      <c r="I36" s="296"/>
      <c r="J36" s="297"/>
      <c r="K36" s="295"/>
      <c r="L36" s="296"/>
      <c r="M36" s="297"/>
      <c r="N36" s="303"/>
      <c r="O36" s="287"/>
      <c r="P36" s="304"/>
      <c r="Q36" s="310"/>
      <c r="R36" s="311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11"/>
      <c r="AL36" s="311"/>
      <c r="AM36" s="312"/>
      <c r="AN36" s="274"/>
      <c r="AO36" s="277"/>
      <c r="AP36" s="274"/>
      <c r="AQ36" s="318"/>
      <c r="AR36" s="318"/>
      <c r="AS36" s="277"/>
      <c r="AT36" s="339"/>
      <c r="AU36" s="340"/>
      <c r="AV36" s="340"/>
      <c r="AW36" s="341"/>
      <c r="AX36" s="277"/>
      <c r="AZ36" s="21"/>
      <c r="BB36" s="21"/>
    </row>
    <row r="37" spans="1:54" ht="14.1" customHeight="1">
      <c r="A37" s="262"/>
      <c r="B37" s="286"/>
      <c r="C37" s="287"/>
      <c r="D37" s="288"/>
      <c r="E37" s="295"/>
      <c r="F37" s="296"/>
      <c r="G37" s="297"/>
      <c r="H37" s="295"/>
      <c r="I37" s="296"/>
      <c r="J37" s="297"/>
      <c r="K37" s="295"/>
      <c r="L37" s="296"/>
      <c r="M37" s="297"/>
      <c r="N37" s="303"/>
      <c r="O37" s="287"/>
      <c r="P37" s="304"/>
      <c r="Q37" s="310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1"/>
      <c r="AL37" s="311"/>
      <c r="AM37" s="312"/>
      <c r="AN37" s="274"/>
      <c r="AO37" s="277"/>
      <c r="AP37" s="274"/>
      <c r="AQ37" s="318"/>
      <c r="AR37" s="318"/>
      <c r="AS37" s="277"/>
      <c r="AT37" s="339"/>
      <c r="AU37" s="340"/>
      <c r="AV37" s="340"/>
      <c r="AW37" s="341"/>
      <c r="AX37" s="277"/>
    </row>
    <row r="38" spans="1:54" ht="14.1" customHeight="1">
      <c r="A38" s="262"/>
      <c r="B38" s="286"/>
      <c r="C38" s="287"/>
      <c r="D38" s="288"/>
      <c r="E38" s="295"/>
      <c r="F38" s="296"/>
      <c r="G38" s="297"/>
      <c r="H38" s="295"/>
      <c r="I38" s="296"/>
      <c r="J38" s="297"/>
      <c r="K38" s="295"/>
      <c r="L38" s="296"/>
      <c r="M38" s="297"/>
      <c r="N38" s="303"/>
      <c r="O38" s="287"/>
      <c r="P38" s="304"/>
      <c r="Q38" s="310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1"/>
      <c r="AM38" s="312"/>
      <c r="AN38" s="274"/>
      <c r="AO38" s="277"/>
      <c r="AP38" s="274"/>
      <c r="AQ38" s="318"/>
      <c r="AR38" s="318"/>
      <c r="AS38" s="277"/>
      <c r="AT38" s="339"/>
      <c r="AU38" s="340"/>
      <c r="AV38" s="340"/>
      <c r="AW38" s="341"/>
      <c r="AX38" s="277"/>
    </row>
    <row r="39" spans="1:54" ht="14.1" customHeight="1">
      <c r="A39" s="263"/>
      <c r="B39" s="289"/>
      <c r="C39" s="290"/>
      <c r="D39" s="291"/>
      <c r="E39" s="298"/>
      <c r="F39" s="299"/>
      <c r="G39" s="300"/>
      <c r="H39" s="298"/>
      <c r="I39" s="299"/>
      <c r="J39" s="300"/>
      <c r="K39" s="298"/>
      <c r="L39" s="299"/>
      <c r="M39" s="300"/>
      <c r="N39" s="305"/>
      <c r="O39" s="290"/>
      <c r="P39" s="306"/>
      <c r="Q39" s="313"/>
      <c r="R39" s="314"/>
      <c r="S39" s="314"/>
      <c r="T39" s="314"/>
      <c r="U39" s="314"/>
      <c r="V39" s="314"/>
      <c r="W39" s="314"/>
      <c r="X39" s="314"/>
      <c r="Y39" s="314"/>
      <c r="Z39" s="314"/>
      <c r="AA39" s="314"/>
      <c r="AB39" s="314"/>
      <c r="AC39" s="314"/>
      <c r="AD39" s="314"/>
      <c r="AE39" s="314"/>
      <c r="AF39" s="314"/>
      <c r="AG39" s="314"/>
      <c r="AH39" s="314"/>
      <c r="AI39" s="314"/>
      <c r="AJ39" s="314"/>
      <c r="AK39" s="314"/>
      <c r="AL39" s="314"/>
      <c r="AM39" s="315"/>
      <c r="AN39" s="275"/>
      <c r="AO39" s="278"/>
      <c r="AP39" s="275"/>
      <c r="AQ39" s="319"/>
      <c r="AR39" s="319"/>
      <c r="AS39" s="278"/>
      <c r="AT39" s="342"/>
      <c r="AU39" s="343"/>
      <c r="AV39" s="343"/>
      <c r="AW39" s="344"/>
      <c r="AX39" s="278"/>
      <c r="AY39" s="44" t="s">
        <v>468</v>
      </c>
    </row>
    <row r="40" spans="1:54" ht="22.5" customHeight="1">
      <c r="A40" s="24">
        <v>1</v>
      </c>
      <c r="B40" s="331" t="s">
        <v>133</v>
      </c>
      <c r="C40" s="332"/>
      <c r="D40" s="333"/>
      <c r="E40" s="331"/>
      <c r="F40" s="332"/>
      <c r="G40" s="333"/>
      <c r="H40" s="331"/>
      <c r="I40" s="332"/>
      <c r="J40" s="333"/>
      <c r="K40" s="331"/>
      <c r="L40" s="332"/>
      <c r="M40" s="333"/>
      <c r="N40" s="331" t="s">
        <v>465</v>
      </c>
      <c r="O40" s="332"/>
      <c r="P40" s="334"/>
      <c r="Q40" s="335"/>
      <c r="R40" s="332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32"/>
      <c r="AJ40" s="332"/>
      <c r="AK40" s="332"/>
      <c r="AL40" s="332"/>
      <c r="AM40" s="334"/>
      <c r="AN40" s="25"/>
      <c r="AO40" s="26"/>
      <c r="AP40" s="25"/>
      <c r="AQ40" s="27"/>
      <c r="AR40" s="27"/>
      <c r="AS40" s="26"/>
      <c r="AT40" s="320"/>
      <c r="AU40" s="321"/>
      <c r="AV40" s="321"/>
      <c r="AW40" s="322"/>
      <c r="AX40" s="26"/>
      <c r="AY40" s="1">
        <f>IFERROR(INDEX(Калькулятор!E:E,MATCH(B40,Калькулятор!D:D,0)),"")</f>
        <v>2040</v>
      </c>
      <c r="AZ40" s="45">
        <f>IFERROR(INDEX(Калькулятор!F:F,MATCH(B40,Калькулятор!D:D,0)),"")</f>
        <v>600</v>
      </c>
      <c r="BA40" s="1">
        <f>IFERROR(INDEX(Калькулятор!G:G,MATCH(B40,Калькулятор!D:D,0)),"")</f>
        <v>560</v>
      </c>
    </row>
    <row r="41" spans="1:54" ht="14.1" customHeight="1">
      <c r="A41" s="28">
        <v>2</v>
      </c>
      <c r="B41" s="323" t="s">
        <v>62</v>
      </c>
      <c r="C41" s="254"/>
      <c r="D41" s="324"/>
      <c r="E41" s="323"/>
      <c r="F41" s="254"/>
      <c r="G41" s="324"/>
      <c r="H41" s="323"/>
      <c r="I41" s="254"/>
      <c r="J41" s="324"/>
      <c r="K41" s="323"/>
      <c r="L41" s="254"/>
      <c r="M41" s="324"/>
      <c r="N41" s="323"/>
      <c r="O41" s="254"/>
      <c r="P41" s="325"/>
      <c r="Q41" s="326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325"/>
      <c r="AN41" s="29"/>
      <c r="AO41" s="30"/>
      <c r="AP41" s="29"/>
      <c r="AQ41" s="31"/>
      <c r="AR41" s="31"/>
      <c r="AS41" s="30"/>
      <c r="AT41" s="327"/>
      <c r="AU41" s="328"/>
      <c r="AV41" s="328"/>
      <c r="AW41" s="329"/>
      <c r="AX41" s="30"/>
      <c r="AY41" s="1">
        <f>IFERROR(INDEX(Калькулятор!E:E,MATCH(B41,Калькулятор!D:D,0)),"")</f>
        <v>720</v>
      </c>
      <c r="AZ41" s="45">
        <f>IFERROR(INDEX(Калькулятор!F:F,MATCH(B41,Калькулятор!D:D,0)),"")</f>
        <v>900</v>
      </c>
      <c r="BA41" s="1">
        <f>IFERROR(INDEX(Калькулятор!G:G,MATCH(B41,Калькулятор!D:D,0)),"")</f>
        <v>900</v>
      </c>
    </row>
    <row r="42" spans="1:54" ht="14.1" customHeight="1">
      <c r="A42" s="24">
        <v>3</v>
      </c>
      <c r="B42" s="323" t="s">
        <v>37</v>
      </c>
      <c r="C42" s="254"/>
      <c r="D42" s="324"/>
      <c r="E42" s="323"/>
      <c r="F42" s="254"/>
      <c r="G42" s="324"/>
      <c r="H42" s="323"/>
      <c r="I42" s="254"/>
      <c r="J42" s="324"/>
      <c r="K42" s="323"/>
      <c r="L42" s="254"/>
      <c r="M42" s="324"/>
      <c r="N42" s="323"/>
      <c r="O42" s="254"/>
      <c r="P42" s="325"/>
      <c r="Q42" s="326"/>
      <c r="R42" s="254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4"/>
      <c r="AF42" s="254"/>
      <c r="AG42" s="254"/>
      <c r="AH42" s="254"/>
      <c r="AI42" s="254"/>
      <c r="AJ42" s="254"/>
      <c r="AK42" s="254"/>
      <c r="AL42" s="254"/>
      <c r="AM42" s="325"/>
      <c r="AN42" s="29"/>
      <c r="AO42" s="30"/>
      <c r="AP42" s="29"/>
      <c r="AQ42" s="31"/>
      <c r="AR42" s="31"/>
      <c r="AS42" s="30"/>
      <c r="AT42" s="327"/>
      <c r="AU42" s="328"/>
      <c r="AV42" s="328"/>
      <c r="AW42" s="329"/>
      <c r="AX42" s="30"/>
      <c r="AY42" s="1">
        <f>IFERROR(INDEX(Калькулятор!E:E,MATCH(B42,Калькулятор!D:D,0)),"")</f>
        <v>720</v>
      </c>
      <c r="AZ42" s="45">
        <f>IFERROR(INDEX(Калькулятор!F:F,MATCH(B42,Калькулятор!D:D,0)),"")</f>
        <v>1050</v>
      </c>
      <c r="BA42" s="1">
        <f>IFERROR(INDEX(Калькулятор!G:G,MATCH(B42,Калькулятор!D:D,0)),"")</f>
        <v>560</v>
      </c>
    </row>
    <row r="43" spans="1:54" ht="14.1" customHeight="1">
      <c r="A43" s="28">
        <v>4</v>
      </c>
      <c r="B43" s="323"/>
      <c r="C43" s="254"/>
      <c r="D43" s="324"/>
      <c r="E43" s="323"/>
      <c r="F43" s="254"/>
      <c r="G43" s="324"/>
      <c r="H43" s="323"/>
      <c r="I43" s="254"/>
      <c r="J43" s="324"/>
      <c r="K43" s="323"/>
      <c r="L43" s="254"/>
      <c r="M43" s="324"/>
      <c r="N43" s="323"/>
      <c r="O43" s="254"/>
      <c r="P43" s="325"/>
      <c r="Q43" s="326"/>
      <c r="R43" s="254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4"/>
      <c r="AF43" s="254"/>
      <c r="AG43" s="254"/>
      <c r="AH43" s="254"/>
      <c r="AI43" s="254"/>
      <c r="AJ43" s="254"/>
      <c r="AK43" s="254"/>
      <c r="AL43" s="254"/>
      <c r="AM43" s="325"/>
      <c r="AN43" s="29"/>
      <c r="AO43" s="30"/>
      <c r="AP43" s="29"/>
      <c r="AQ43" s="31"/>
      <c r="AR43" s="31"/>
      <c r="AS43" s="30"/>
      <c r="AT43" s="327"/>
      <c r="AU43" s="328"/>
      <c r="AV43" s="328"/>
      <c r="AW43" s="329"/>
      <c r="AX43" s="30"/>
      <c r="AY43" s="1" t="str">
        <f>IFERROR(INDEX(Калькулятор!E:E,MATCH(B43,Калькулятор!D:D,0)),"")</f>
        <v/>
      </c>
      <c r="AZ43" s="45" t="str">
        <f>IFERROR(INDEX(Калькулятор!F:F,MATCH(B43,Калькулятор!D:D,0)),"")</f>
        <v/>
      </c>
      <c r="BA43" s="1" t="str">
        <f>IFERROR(INDEX(Калькулятор!G:G,MATCH(B43,Калькулятор!D:D,0)),"")</f>
        <v/>
      </c>
    </row>
    <row r="44" spans="1:54" ht="14.1" customHeight="1">
      <c r="A44" s="24">
        <v>5</v>
      </c>
      <c r="B44" s="323"/>
      <c r="C44" s="254"/>
      <c r="D44" s="324"/>
      <c r="E44" s="323"/>
      <c r="F44" s="254"/>
      <c r="G44" s="324"/>
      <c r="H44" s="323"/>
      <c r="I44" s="254"/>
      <c r="J44" s="324"/>
      <c r="K44" s="323"/>
      <c r="L44" s="254"/>
      <c r="M44" s="324"/>
      <c r="N44" s="323"/>
      <c r="O44" s="254"/>
      <c r="P44" s="325"/>
      <c r="Q44" s="326"/>
      <c r="R44" s="254"/>
      <c r="S44" s="254"/>
      <c r="T44" s="254"/>
      <c r="U44" s="254"/>
      <c r="V44" s="254"/>
      <c r="W44" s="254"/>
      <c r="X44" s="254"/>
      <c r="Y44" s="254"/>
      <c r="Z44" s="254"/>
      <c r="AA44" s="254"/>
      <c r="AB44" s="254"/>
      <c r="AC44" s="254"/>
      <c r="AD44" s="254"/>
      <c r="AE44" s="254"/>
      <c r="AF44" s="254"/>
      <c r="AG44" s="254"/>
      <c r="AH44" s="254"/>
      <c r="AI44" s="254"/>
      <c r="AJ44" s="254"/>
      <c r="AK44" s="254"/>
      <c r="AL44" s="254"/>
      <c r="AM44" s="325"/>
      <c r="AN44" s="29"/>
      <c r="AO44" s="30"/>
      <c r="AP44" s="29"/>
      <c r="AQ44" s="31"/>
      <c r="AR44" s="31"/>
      <c r="AS44" s="30"/>
      <c r="AT44" s="327"/>
      <c r="AU44" s="328"/>
      <c r="AV44" s="328"/>
      <c r="AW44" s="329"/>
      <c r="AX44" s="30"/>
      <c r="AY44" s="1" t="str">
        <f>IFERROR(INDEX(Калькулятор!E:E,MATCH(B44,Калькулятор!D:D,0)),"")</f>
        <v/>
      </c>
      <c r="AZ44" s="45" t="str">
        <f>IFERROR(INDEX(Калькулятор!F:F,MATCH(B44,Калькулятор!D:D,0)),"")</f>
        <v/>
      </c>
      <c r="BA44" s="1" t="str">
        <f>IFERROR(INDEX(Калькулятор!G:G,MATCH(B44,Калькулятор!D:D,0)),"")</f>
        <v/>
      </c>
    </row>
    <row r="45" spans="1:54" ht="15.75" customHeight="1">
      <c r="A45" s="28">
        <v>6</v>
      </c>
      <c r="B45" s="323"/>
      <c r="C45" s="254"/>
      <c r="D45" s="324"/>
      <c r="E45" s="323"/>
      <c r="F45" s="254"/>
      <c r="G45" s="324"/>
      <c r="H45" s="323"/>
      <c r="I45" s="254"/>
      <c r="J45" s="324"/>
      <c r="K45" s="323"/>
      <c r="L45" s="254"/>
      <c r="M45" s="324"/>
      <c r="N45" s="323"/>
      <c r="O45" s="254"/>
      <c r="P45" s="325"/>
      <c r="Q45" s="326"/>
      <c r="R45" s="254"/>
      <c r="S45" s="254"/>
      <c r="T45" s="254"/>
      <c r="U45" s="254"/>
      <c r="V45" s="254"/>
      <c r="W45" s="254"/>
      <c r="X45" s="254"/>
      <c r="Y45" s="254"/>
      <c r="Z45" s="254"/>
      <c r="AA45" s="254"/>
      <c r="AB45" s="254"/>
      <c r="AC45" s="254"/>
      <c r="AD45" s="254"/>
      <c r="AE45" s="254"/>
      <c r="AF45" s="254"/>
      <c r="AG45" s="254"/>
      <c r="AH45" s="254"/>
      <c r="AI45" s="254"/>
      <c r="AJ45" s="254"/>
      <c r="AK45" s="254"/>
      <c r="AL45" s="254"/>
      <c r="AM45" s="325"/>
      <c r="AN45" s="29"/>
      <c r="AO45" s="30"/>
      <c r="AP45" s="29"/>
      <c r="AQ45" s="31"/>
      <c r="AR45" s="31"/>
      <c r="AS45" s="30"/>
      <c r="AT45" s="327"/>
      <c r="AU45" s="328"/>
      <c r="AV45" s="328"/>
      <c r="AW45" s="329"/>
      <c r="AX45" s="30"/>
      <c r="AY45" s="1" t="str">
        <f>IFERROR(INDEX(Калькулятор!E:E,MATCH(B45,Калькулятор!D:D,0)),"")</f>
        <v/>
      </c>
      <c r="AZ45" s="45" t="str">
        <f>IFERROR(INDEX(Калькулятор!F:F,MATCH(B45,Калькулятор!D:D,0)),"")</f>
        <v/>
      </c>
      <c r="BA45" s="1" t="str">
        <f>IFERROR(INDEX(Калькулятор!G:G,MATCH(B45,Калькулятор!D:D,0)),"")</f>
        <v/>
      </c>
    </row>
    <row r="46" spans="1:54" ht="16.5" customHeight="1">
      <c r="A46" s="24">
        <v>7</v>
      </c>
      <c r="B46" s="323"/>
      <c r="C46" s="254"/>
      <c r="D46" s="324"/>
      <c r="E46" s="323"/>
      <c r="F46" s="254"/>
      <c r="G46" s="324"/>
      <c r="H46" s="323"/>
      <c r="I46" s="254"/>
      <c r="J46" s="324"/>
      <c r="K46" s="323"/>
      <c r="L46" s="254"/>
      <c r="M46" s="324"/>
      <c r="N46" s="323"/>
      <c r="O46" s="254"/>
      <c r="P46" s="325"/>
      <c r="Q46" s="326"/>
      <c r="R46" s="254"/>
      <c r="S46" s="254"/>
      <c r="T46" s="254"/>
      <c r="U46" s="254"/>
      <c r="V46" s="254"/>
      <c r="W46" s="254"/>
      <c r="X46" s="254"/>
      <c r="Y46" s="254"/>
      <c r="Z46" s="254"/>
      <c r="AA46" s="254"/>
      <c r="AB46" s="254"/>
      <c r="AC46" s="254"/>
      <c r="AD46" s="254"/>
      <c r="AE46" s="254"/>
      <c r="AF46" s="254"/>
      <c r="AG46" s="254"/>
      <c r="AH46" s="254"/>
      <c r="AI46" s="254"/>
      <c r="AJ46" s="254"/>
      <c r="AK46" s="254"/>
      <c r="AL46" s="254"/>
      <c r="AM46" s="325"/>
      <c r="AN46" s="29"/>
      <c r="AO46" s="30"/>
      <c r="AP46" s="29"/>
      <c r="AQ46" s="31"/>
      <c r="AR46" s="31"/>
      <c r="AS46" s="30"/>
      <c r="AT46" s="327"/>
      <c r="AU46" s="328"/>
      <c r="AV46" s="328"/>
      <c r="AW46" s="329"/>
      <c r="AX46" s="30"/>
      <c r="AY46" s="1" t="str">
        <f>IFERROR(INDEX(Калькулятор!E:E,MATCH(B46,Калькулятор!D:D,0)),"")</f>
        <v/>
      </c>
      <c r="AZ46" s="45" t="str">
        <f>IFERROR(INDEX(Калькулятор!F:F,MATCH(B46,Калькулятор!D:D,0)),"")</f>
        <v/>
      </c>
      <c r="BA46" s="1" t="str">
        <f>IFERROR(INDEX(Калькулятор!G:G,MATCH(B46,Калькулятор!D:D,0)),"")</f>
        <v/>
      </c>
    </row>
    <row r="47" spans="1:54" ht="18" customHeight="1">
      <c r="A47" s="28">
        <v>8</v>
      </c>
      <c r="B47" s="323"/>
      <c r="C47" s="254"/>
      <c r="D47" s="324"/>
      <c r="E47" s="323"/>
      <c r="F47" s="254"/>
      <c r="G47" s="324"/>
      <c r="H47" s="323"/>
      <c r="I47" s="254"/>
      <c r="J47" s="324"/>
      <c r="K47" s="323"/>
      <c r="L47" s="254"/>
      <c r="M47" s="324"/>
      <c r="N47" s="323"/>
      <c r="O47" s="254"/>
      <c r="P47" s="325"/>
      <c r="Q47" s="326"/>
      <c r="R47" s="254"/>
      <c r="S47" s="254"/>
      <c r="T47" s="254"/>
      <c r="U47" s="254"/>
      <c r="V47" s="254"/>
      <c r="W47" s="254"/>
      <c r="X47" s="254"/>
      <c r="Y47" s="254"/>
      <c r="Z47" s="254"/>
      <c r="AA47" s="254"/>
      <c r="AB47" s="254"/>
      <c r="AC47" s="254"/>
      <c r="AD47" s="254"/>
      <c r="AE47" s="254"/>
      <c r="AF47" s="254"/>
      <c r="AG47" s="254"/>
      <c r="AH47" s="254"/>
      <c r="AI47" s="254"/>
      <c r="AJ47" s="254"/>
      <c r="AK47" s="254"/>
      <c r="AL47" s="254"/>
      <c r="AM47" s="325"/>
      <c r="AN47" s="29"/>
      <c r="AO47" s="30"/>
      <c r="AP47" s="29"/>
      <c r="AQ47" s="31"/>
      <c r="AR47" s="31"/>
      <c r="AS47" s="30"/>
      <c r="AT47" s="327"/>
      <c r="AU47" s="328"/>
      <c r="AV47" s="328"/>
      <c r="AW47" s="329"/>
      <c r="AX47" s="30"/>
      <c r="AY47" s="1" t="str">
        <f>IFERROR(INDEX(Калькулятор!E:E,MATCH(B47,Калькулятор!D:D,0)),"")</f>
        <v/>
      </c>
      <c r="AZ47" s="45" t="str">
        <f>IFERROR(INDEX(Калькулятор!F:F,MATCH(B47,Калькулятор!D:D,0)),"")</f>
        <v/>
      </c>
      <c r="BA47" s="1" t="str">
        <f>IFERROR(INDEX(Калькулятор!G:G,MATCH(B47,Калькулятор!D:D,0)),"")</f>
        <v/>
      </c>
    </row>
    <row r="48" spans="1:54" ht="17.25" customHeight="1">
      <c r="A48" s="24">
        <v>9</v>
      </c>
      <c r="B48" s="323"/>
      <c r="C48" s="254"/>
      <c r="D48" s="324"/>
      <c r="E48" s="323"/>
      <c r="F48" s="254"/>
      <c r="G48" s="324"/>
      <c r="H48" s="323"/>
      <c r="I48" s="254"/>
      <c r="J48" s="324"/>
      <c r="K48" s="323"/>
      <c r="L48" s="254"/>
      <c r="M48" s="324"/>
      <c r="N48" s="323"/>
      <c r="O48" s="254"/>
      <c r="P48" s="325"/>
      <c r="Q48" s="326"/>
      <c r="R48" s="254"/>
      <c r="S48" s="254"/>
      <c r="T48" s="254"/>
      <c r="U48" s="254"/>
      <c r="V48" s="254"/>
      <c r="W48" s="254"/>
      <c r="X48" s="254"/>
      <c r="Y48" s="254"/>
      <c r="Z48" s="254"/>
      <c r="AA48" s="254"/>
      <c r="AB48" s="254"/>
      <c r="AC48" s="254"/>
      <c r="AD48" s="254"/>
      <c r="AE48" s="254"/>
      <c r="AF48" s="254"/>
      <c r="AG48" s="254"/>
      <c r="AH48" s="254"/>
      <c r="AI48" s="254"/>
      <c r="AJ48" s="254"/>
      <c r="AK48" s="254"/>
      <c r="AL48" s="254"/>
      <c r="AM48" s="325"/>
      <c r="AN48" s="29"/>
      <c r="AO48" s="30"/>
      <c r="AP48" s="29"/>
      <c r="AQ48" s="31"/>
      <c r="AR48" s="31"/>
      <c r="AS48" s="30"/>
      <c r="AT48" s="327"/>
      <c r="AU48" s="328"/>
      <c r="AV48" s="328"/>
      <c r="AW48" s="329"/>
      <c r="AX48" s="30"/>
      <c r="AY48" s="1" t="str">
        <f>IFERROR(INDEX(Калькулятор!E:E,MATCH(B48,Калькулятор!D:D,0)),"")</f>
        <v/>
      </c>
      <c r="AZ48" s="45" t="str">
        <f>IFERROR(INDEX(Калькулятор!F:F,MATCH(B48,Калькулятор!D:D,0)),"")</f>
        <v/>
      </c>
      <c r="BA48" s="1" t="str">
        <f>IFERROR(INDEX(Калькулятор!G:G,MATCH(B48,Калькулятор!D:D,0)),"")</f>
        <v/>
      </c>
    </row>
    <row r="49" spans="1:57" ht="15" customHeight="1">
      <c r="A49" s="28">
        <v>10</v>
      </c>
      <c r="B49" s="323" t="s">
        <v>34</v>
      </c>
      <c r="C49" s="254"/>
      <c r="D49" s="324"/>
      <c r="E49" s="323"/>
      <c r="F49" s="254"/>
      <c r="G49" s="324"/>
      <c r="H49" s="323"/>
      <c r="I49" s="254"/>
      <c r="J49" s="324"/>
      <c r="K49" s="323"/>
      <c r="L49" s="254"/>
      <c r="M49" s="324"/>
      <c r="N49" s="323"/>
      <c r="O49" s="254"/>
      <c r="P49" s="325"/>
      <c r="Q49" s="326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4"/>
      <c r="AK49" s="254"/>
      <c r="AL49" s="254"/>
      <c r="AM49" s="325"/>
      <c r="AN49" s="29"/>
      <c r="AO49" s="30"/>
      <c r="AP49" s="29"/>
      <c r="AQ49" s="31"/>
      <c r="AR49" s="31"/>
      <c r="AS49" s="30"/>
      <c r="AT49" s="327"/>
      <c r="AU49" s="328"/>
      <c r="AV49" s="328"/>
      <c r="AW49" s="329"/>
      <c r="AX49" s="30"/>
      <c r="AY49" s="1">
        <f>IFERROR(INDEX(Калькулятор!E:E,MATCH(B49,Калькулятор!D:D,0)),"")</f>
        <v>720</v>
      </c>
      <c r="AZ49" s="45">
        <f>IFERROR(INDEX(Калькулятор!F:F,MATCH(B49,Калькулятор!D:D,0)),"")</f>
        <v>1050</v>
      </c>
      <c r="BA49" s="1">
        <f>IFERROR(INDEX(Калькулятор!G:G,MATCH(B49,Калькулятор!D:D,0)),"")</f>
        <v>560</v>
      </c>
    </row>
    <row r="50" spans="1:57" ht="20.25" customHeight="1">
      <c r="A50" s="24">
        <v>11</v>
      </c>
      <c r="B50" s="323"/>
      <c r="C50" s="254"/>
      <c r="D50" s="324"/>
      <c r="E50" s="323"/>
      <c r="F50" s="254"/>
      <c r="G50" s="324"/>
      <c r="H50" s="323"/>
      <c r="I50" s="254"/>
      <c r="J50" s="324"/>
      <c r="K50" s="323"/>
      <c r="L50" s="254"/>
      <c r="M50" s="324"/>
      <c r="N50" s="323"/>
      <c r="O50" s="254"/>
      <c r="P50" s="325"/>
      <c r="Q50" s="326"/>
      <c r="R50" s="254"/>
      <c r="S50" s="254"/>
      <c r="T50" s="254"/>
      <c r="U50" s="254"/>
      <c r="V50" s="254"/>
      <c r="W50" s="254"/>
      <c r="X50" s="254"/>
      <c r="Y50" s="254"/>
      <c r="Z50" s="254"/>
      <c r="AA50" s="254"/>
      <c r="AB50" s="254"/>
      <c r="AC50" s="254"/>
      <c r="AD50" s="254"/>
      <c r="AE50" s="254"/>
      <c r="AF50" s="254"/>
      <c r="AG50" s="254"/>
      <c r="AH50" s="254"/>
      <c r="AI50" s="254"/>
      <c r="AJ50" s="254"/>
      <c r="AK50" s="254"/>
      <c r="AL50" s="254"/>
      <c r="AM50" s="325"/>
      <c r="AN50" s="29"/>
      <c r="AO50" s="30"/>
      <c r="AP50" s="29"/>
      <c r="AQ50" s="31"/>
      <c r="AR50" s="31"/>
      <c r="AS50" s="30"/>
      <c r="AT50" s="327"/>
      <c r="AU50" s="328"/>
      <c r="AV50" s="328"/>
      <c r="AW50" s="329"/>
      <c r="AX50" s="30"/>
      <c r="AY50" s="1" t="str">
        <f>IFERROR(INDEX(Калькулятор!E:E,MATCH(B50,Калькулятор!D:D,0)),"")</f>
        <v/>
      </c>
      <c r="AZ50" s="45" t="str">
        <f>IFERROR(INDEX(Калькулятор!F:F,MATCH(B50,Калькулятор!D:D,0)),"")</f>
        <v/>
      </c>
      <c r="BA50" s="1" t="str">
        <f>IFERROR(INDEX(Калькулятор!G:G,MATCH(B50,Калькулятор!D:D,0)),"")</f>
        <v/>
      </c>
      <c r="BE50" s="32"/>
    </row>
    <row r="51" spans="1:57" ht="22.5" customHeight="1">
      <c r="A51" s="28">
        <v>12</v>
      </c>
      <c r="B51" s="323"/>
      <c r="C51" s="254"/>
      <c r="D51" s="324"/>
      <c r="E51" s="323"/>
      <c r="F51" s="254"/>
      <c r="G51" s="324"/>
      <c r="H51" s="323"/>
      <c r="I51" s="254"/>
      <c r="J51" s="324"/>
      <c r="K51" s="323"/>
      <c r="L51" s="254"/>
      <c r="M51" s="324"/>
      <c r="N51" s="323"/>
      <c r="O51" s="254"/>
      <c r="P51" s="325"/>
      <c r="Q51" s="326"/>
      <c r="R51" s="254"/>
      <c r="S51" s="254"/>
      <c r="T51" s="254"/>
      <c r="U51" s="254"/>
      <c r="V51" s="254"/>
      <c r="W51" s="254"/>
      <c r="X51" s="254"/>
      <c r="Y51" s="254"/>
      <c r="Z51" s="254"/>
      <c r="AA51" s="254"/>
      <c r="AB51" s="254"/>
      <c r="AC51" s="254"/>
      <c r="AD51" s="254"/>
      <c r="AE51" s="254"/>
      <c r="AF51" s="254"/>
      <c r="AG51" s="254"/>
      <c r="AH51" s="254"/>
      <c r="AI51" s="254"/>
      <c r="AJ51" s="254"/>
      <c r="AK51" s="254"/>
      <c r="AL51" s="254"/>
      <c r="AM51" s="325"/>
      <c r="AN51" s="29"/>
      <c r="AO51" s="30"/>
      <c r="AP51" s="29"/>
      <c r="AQ51" s="31"/>
      <c r="AR51" s="31"/>
      <c r="AS51" s="30"/>
      <c r="AT51" s="327"/>
      <c r="AU51" s="328"/>
      <c r="AV51" s="328"/>
      <c r="AW51" s="329"/>
      <c r="AX51" s="30"/>
      <c r="AY51" s="1" t="str">
        <f>IFERROR(INDEX(Калькулятор!E:E,MATCH(B51,Калькулятор!D:D,0)),"")</f>
        <v/>
      </c>
      <c r="AZ51" s="45" t="str">
        <f>IFERROR(INDEX(Калькулятор!F:F,MATCH(B51,Калькулятор!D:D,0)),"")</f>
        <v/>
      </c>
      <c r="BA51" s="1" t="str">
        <f>IFERROR(INDEX(Калькулятор!G:G,MATCH(B51,Калькулятор!D:D,0)),"")</f>
        <v/>
      </c>
    </row>
    <row r="52" spans="1:57" ht="14.1" customHeight="1">
      <c r="A52" s="24">
        <v>13</v>
      </c>
      <c r="B52" s="323"/>
      <c r="C52" s="254"/>
      <c r="D52" s="324"/>
      <c r="E52" s="323"/>
      <c r="F52" s="254"/>
      <c r="G52" s="324"/>
      <c r="H52" s="323"/>
      <c r="I52" s="254"/>
      <c r="J52" s="324"/>
      <c r="K52" s="323"/>
      <c r="L52" s="254"/>
      <c r="M52" s="324"/>
      <c r="N52" s="323"/>
      <c r="O52" s="254"/>
      <c r="P52" s="325"/>
      <c r="Q52" s="326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325"/>
      <c r="AN52" s="29"/>
      <c r="AO52" s="30"/>
      <c r="AP52" s="29"/>
      <c r="AQ52" s="31"/>
      <c r="AR52" s="31"/>
      <c r="AS52" s="30"/>
      <c r="AT52" s="327"/>
      <c r="AU52" s="328"/>
      <c r="AV52" s="328"/>
      <c r="AW52" s="329"/>
      <c r="AX52" s="30"/>
      <c r="AY52" s="1" t="str">
        <f>IFERROR(INDEX(Калькулятор!E:E,MATCH(B52,Калькулятор!D:D,0)),"")</f>
        <v/>
      </c>
      <c r="AZ52" s="45" t="str">
        <f>IFERROR(INDEX(Калькулятор!F:F,MATCH(B52,Калькулятор!D:D,0)),"")</f>
        <v/>
      </c>
      <c r="BA52" s="1" t="str">
        <f>IFERROR(INDEX(Калькулятор!G:G,MATCH(B52,Калькулятор!D:D,0)),"")</f>
        <v/>
      </c>
    </row>
    <row r="53" spans="1:57" ht="14.1" customHeight="1">
      <c r="A53" s="28">
        <v>14</v>
      </c>
      <c r="B53" s="323"/>
      <c r="C53" s="254"/>
      <c r="D53" s="324"/>
      <c r="E53" s="323"/>
      <c r="F53" s="254"/>
      <c r="G53" s="324"/>
      <c r="H53" s="323"/>
      <c r="I53" s="254"/>
      <c r="J53" s="324"/>
      <c r="K53" s="323"/>
      <c r="L53" s="254"/>
      <c r="M53" s="324"/>
      <c r="N53" s="323"/>
      <c r="O53" s="254"/>
      <c r="P53" s="325"/>
      <c r="Q53" s="326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4"/>
      <c r="AJ53" s="254"/>
      <c r="AK53" s="254"/>
      <c r="AL53" s="254"/>
      <c r="AM53" s="325"/>
      <c r="AN53" s="29"/>
      <c r="AO53" s="30"/>
      <c r="AP53" s="29"/>
      <c r="AQ53" s="31"/>
      <c r="AR53" s="31"/>
      <c r="AS53" s="30"/>
      <c r="AT53" s="327"/>
      <c r="AU53" s="328"/>
      <c r="AV53" s="328"/>
      <c r="AW53" s="329"/>
      <c r="AX53" s="30"/>
      <c r="AY53" s="1" t="str">
        <f>IFERROR(INDEX(Калькулятор!E:E,MATCH(B53,Калькулятор!D:D,0)),"")</f>
        <v/>
      </c>
      <c r="AZ53" s="45" t="str">
        <f>IFERROR(INDEX(Калькулятор!F:F,MATCH(B53,Калькулятор!D:D,0)),"")</f>
        <v/>
      </c>
      <c r="BA53" s="1" t="str">
        <f>IFERROR(INDEX(Калькулятор!G:G,MATCH(B53,Калькулятор!D:D,0)),"")</f>
        <v/>
      </c>
    </row>
    <row r="54" spans="1:57" ht="14.1" customHeight="1">
      <c r="A54" s="24">
        <v>15</v>
      </c>
      <c r="B54" s="323"/>
      <c r="C54" s="254"/>
      <c r="D54" s="324"/>
      <c r="E54" s="323"/>
      <c r="F54" s="254"/>
      <c r="G54" s="324"/>
      <c r="H54" s="323"/>
      <c r="I54" s="254"/>
      <c r="J54" s="324"/>
      <c r="K54" s="323"/>
      <c r="L54" s="254"/>
      <c r="M54" s="324"/>
      <c r="N54" s="323"/>
      <c r="O54" s="254"/>
      <c r="P54" s="325"/>
      <c r="Q54" s="326"/>
      <c r="R54" s="254"/>
      <c r="S54" s="254"/>
      <c r="T54" s="254"/>
      <c r="U54" s="254"/>
      <c r="V54" s="254"/>
      <c r="W54" s="254"/>
      <c r="X54" s="254"/>
      <c r="Y54" s="254"/>
      <c r="Z54" s="254"/>
      <c r="AA54" s="254"/>
      <c r="AB54" s="254"/>
      <c r="AC54" s="254"/>
      <c r="AD54" s="254"/>
      <c r="AE54" s="254"/>
      <c r="AF54" s="254"/>
      <c r="AG54" s="254"/>
      <c r="AH54" s="254"/>
      <c r="AI54" s="254"/>
      <c r="AJ54" s="254"/>
      <c r="AK54" s="254"/>
      <c r="AL54" s="254"/>
      <c r="AM54" s="325"/>
      <c r="AN54" s="29"/>
      <c r="AO54" s="30"/>
      <c r="AP54" s="29"/>
      <c r="AQ54" s="31"/>
      <c r="AR54" s="31"/>
      <c r="AS54" s="30"/>
      <c r="AT54" s="327"/>
      <c r="AU54" s="328"/>
      <c r="AV54" s="328"/>
      <c r="AW54" s="329"/>
      <c r="AX54" s="30"/>
      <c r="AY54" s="1" t="str">
        <f>IFERROR(INDEX(Калькулятор!E:E,MATCH(B54,Калькулятор!D:D,0)),"")</f>
        <v/>
      </c>
      <c r="AZ54" s="45" t="str">
        <f>IFERROR(INDEX(Калькулятор!F:F,MATCH(B54,Калькулятор!D:D,0)),"")</f>
        <v/>
      </c>
      <c r="BA54" s="1" t="str">
        <f>IFERROR(INDEX(Калькулятор!G:G,MATCH(B54,Калькулятор!D:D,0)),"")</f>
        <v/>
      </c>
      <c r="BB54" s="21"/>
    </row>
    <row r="55" spans="1:57" ht="14.1" customHeight="1">
      <c r="A55" s="28">
        <v>16</v>
      </c>
      <c r="B55" s="323"/>
      <c r="C55" s="254"/>
      <c r="D55" s="324"/>
      <c r="E55" s="323"/>
      <c r="F55" s="254"/>
      <c r="G55" s="324"/>
      <c r="H55" s="323"/>
      <c r="I55" s="254"/>
      <c r="J55" s="324"/>
      <c r="K55" s="323"/>
      <c r="L55" s="254"/>
      <c r="M55" s="324"/>
      <c r="N55" s="323"/>
      <c r="O55" s="254"/>
      <c r="P55" s="325"/>
      <c r="Q55" s="326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325"/>
      <c r="AN55" s="29"/>
      <c r="AO55" s="30"/>
      <c r="AP55" s="29"/>
      <c r="AQ55" s="31"/>
      <c r="AR55" s="31"/>
      <c r="AS55" s="30"/>
      <c r="AT55" s="327"/>
      <c r="AU55" s="328"/>
      <c r="AV55" s="328"/>
      <c r="AW55" s="329"/>
      <c r="AX55" s="30"/>
      <c r="AY55" s="1" t="str">
        <f>IFERROR(INDEX(Калькулятор!E:E,MATCH(B55,Калькулятор!D:D,0)),"")</f>
        <v/>
      </c>
      <c r="AZ55" s="45" t="str">
        <f>IFERROR(INDEX(Калькулятор!F:F,MATCH(B55,Калькулятор!D:D,0)),"")</f>
        <v/>
      </c>
      <c r="BA55" s="1" t="str">
        <f>IFERROR(INDEX(Калькулятор!G:G,MATCH(B55,Калькулятор!D:D,0)),"")</f>
        <v/>
      </c>
      <c r="BB55" s="21"/>
    </row>
    <row r="56" spans="1:57" ht="14.1" customHeight="1">
      <c r="A56" s="24">
        <v>17</v>
      </c>
      <c r="B56" s="323"/>
      <c r="C56" s="254"/>
      <c r="D56" s="324"/>
      <c r="E56" s="323"/>
      <c r="F56" s="254"/>
      <c r="G56" s="324"/>
      <c r="H56" s="323"/>
      <c r="I56" s="254"/>
      <c r="J56" s="324"/>
      <c r="K56" s="323"/>
      <c r="L56" s="254"/>
      <c r="M56" s="324"/>
      <c r="N56" s="323"/>
      <c r="O56" s="254"/>
      <c r="P56" s="325"/>
      <c r="Q56" s="326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325"/>
      <c r="AN56" s="29"/>
      <c r="AO56" s="30"/>
      <c r="AP56" s="29"/>
      <c r="AQ56" s="31"/>
      <c r="AR56" s="31"/>
      <c r="AS56" s="30"/>
      <c r="AT56" s="327"/>
      <c r="AU56" s="328"/>
      <c r="AV56" s="328"/>
      <c r="AW56" s="329"/>
      <c r="AX56" s="30"/>
      <c r="AY56" s="1" t="str">
        <f>IFERROR(INDEX(Калькулятор!E:E,MATCH(B56,Калькулятор!D:D,0)),"")</f>
        <v/>
      </c>
      <c r="AZ56" s="45" t="str">
        <f>IFERROR(INDEX(Калькулятор!F:F,MATCH(B56,Калькулятор!D:D,0)),"")</f>
        <v/>
      </c>
      <c r="BA56" s="1" t="str">
        <f>IFERROR(INDEX(Калькулятор!G:G,MATCH(B56,Калькулятор!D:D,0)),"")</f>
        <v/>
      </c>
    </row>
    <row r="57" spans="1:57" ht="14.1" customHeight="1">
      <c r="A57" s="28">
        <v>18</v>
      </c>
      <c r="B57" s="323"/>
      <c r="C57" s="254"/>
      <c r="D57" s="324"/>
      <c r="E57" s="323"/>
      <c r="F57" s="254"/>
      <c r="G57" s="324"/>
      <c r="H57" s="323"/>
      <c r="I57" s="254"/>
      <c r="J57" s="324"/>
      <c r="K57" s="323"/>
      <c r="L57" s="254"/>
      <c r="M57" s="324"/>
      <c r="N57" s="323"/>
      <c r="O57" s="254"/>
      <c r="P57" s="325"/>
      <c r="Q57" s="326"/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325"/>
      <c r="AN57" s="29"/>
      <c r="AO57" s="30"/>
      <c r="AP57" s="29"/>
      <c r="AQ57" s="31"/>
      <c r="AR57" s="31"/>
      <c r="AS57" s="30"/>
      <c r="AT57" s="327"/>
      <c r="AU57" s="328"/>
      <c r="AV57" s="328"/>
      <c r="AW57" s="329"/>
      <c r="AX57" s="30"/>
      <c r="AY57" s="1" t="str">
        <f>IFERROR(INDEX(Калькулятор!E:E,MATCH(B57,Калькулятор!D:D,0)),"")</f>
        <v/>
      </c>
      <c r="AZ57" s="45" t="str">
        <f>IFERROR(INDEX(Калькулятор!F:F,MATCH(B57,Калькулятор!D:D,0)),"")</f>
        <v/>
      </c>
      <c r="BA57" s="1" t="str">
        <f>IFERROR(INDEX(Калькулятор!G:G,MATCH(B57,Калькулятор!D:D,0)),"")</f>
        <v/>
      </c>
    </row>
    <row r="58" spans="1:57" ht="14.1" customHeight="1">
      <c r="A58" s="24">
        <v>19</v>
      </c>
      <c r="B58" s="323"/>
      <c r="C58" s="254"/>
      <c r="D58" s="324"/>
      <c r="E58" s="323"/>
      <c r="F58" s="254"/>
      <c r="G58" s="324"/>
      <c r="H58" s="323"/>
      <c r="I58" s="254"/>
      <c r="J58" s="324"/>
      <c r="K58" s="323"/>
      <c r="L58" s="254"/>
      <c r="M58" s="324"/>
      <c r="N58" s="323"/>
      <c r="O58" s="254"/>
      <c r="P58" s="325"/>
      <c r="Q58" s="326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325"/>
      <c r="AN58" s="29"/>
      <c r="AO58" s="30"/>
      <c r="AP58" s="29"/>
      <c r="AQ58" s="31"/>
      <c r="AR58" s="31"/>
      <c r="AS58" s="30"/>
      <c r="AT58" s="327"/>
      <c r="AU58" s="328"/>
      <c r="AV58" s="328"/>
      <c r="AW58" s="329"/>
      <c r="AX58" s="30"/>
      <c r="AY58" s="1" t="str">
        <f>IFERROR(INDEX(Калькулятор!E:E,MATCH(B58,Калькулятор!D:D,0)),"")</f>
        <v/>
      </c>
      <c r="AZ58" s="45" t="str">
        <f>IFERROR(INDEX(Калькулятор!F:F,MATCH(B58,Калькулятор!D:D,0)),"")</f>
        <v/>
      </c>
      <c r="BA58" s="1" t="str">
        <f>IFERROR(INDEX(Калькулятор!G:G,MATCH(B58,Калькулятор!D:D,0)),"")</f>
        <v/>
      </c>
    </row>
    <row r="59" spans="1:57" ht="14.1" customHeight="1">
      <c r="A59" s="28">
        <v>20</v>
      </c>
      <c r="B59" s="323"/>
      <c r="C59" s="254"/>
      <c r="D59" s="324"/>
      <c r="E59" s="323"/>
      <c r="F59" s="254"/>
      <c r="G59" s="324"/>
      <c r="H59" s="323"/>
      <c r="I59" s="254"/>
      <c r="J59" s="324"/>
      <c r="K59" s="323"/>
      <c r="L59" s="254"/>
      <c r="M59" s="324"/>
      <c r="N59" s="323"/>
      <c r="O59" s="254"/>
      <c r="P59" s="325"/>
      <c r="Q59" s="326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325"/>
      <c r="AN59" s="29"/>
      <c r="AO59" s="30"/>
      <c r="AP59" s="29"/>
      <c r="AQ59" s="31"/>
      <c r="AR59" s="31"/>
      <c r="AS59" s="30"/>
      <c r="AT59" s="327"/>
      <c r="AU59" s="328"/>
      <c r="AV59" s="328"/>
      <c r="AW59" s="329"/>
      <c r="AX59" s="30"/>
      <c r="AY59" s="1" t="str">
        <f>IFERROR(INDEX(Калькулятор!E:E,MATCH(B59,Калькулятор!D:D,0)),"")</f>
        <v/>
      </c>
      <c r="AZ59" s="45" t="str">
        <f>IFERROR(INDEX(Калькулятор!F:F,MATCH(B59,Калькулятор!D:D,0)),"")</f>
        <v/>
      </c>
      <c r="BA59" s="1" t="str">
        <f>IFERROR(INDEX(Калькулятор!G:G,MATCH(B59,Калькулятор!D:D,0)),"")</f>
        <v/>
      </c>
    </row>
    <row r="60" spans="1:57" ht="14.1" customHeight="1">
      <c r="A60" s="24">
        <v>21</v>
      </c>
      <c r="B60" s="350"/>
      <c r="C60" s="351"/>
      <c r="D60" s="352"/>
      <c r="E60" s="350"/>
      <c r="F60" s="351"/>
      <c r="G60" s="352"/>
      <c r="H60" s="350"/>
      <c r="I60" s="351"/>
      <c r="J60" s="352"/>
      <c r="K60" s="350"/>
      <c r="L60" s="351"/>
      <c r="M60" s="352"/>
      <c r="N60" s="350"/>
      <c r="O60" s="351"/>
      <c r="P60" s="353"/>
      <c r="Q60" s="354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1"/>
      <c r="AK60" s="351"/>
      <c r="AL60" s="351"/>
      <c r="AM60" s="353"/>
      <c r="AN60" s="33"/>
      <c r="AO60" s="34"/>
      <c r="AP60" s="33"/>
      <c r="AQ60" s="35"/>
      <c r="AR60" s="35"/>
      <c r="AS60" s="34"/>
      <c r="AT60" s="347"/>
      <c r="AU60" s="348"/>
      <c r="AV60" s="348"/>
      <c r="AW60" s="349"/>
      <c r="AX60" s="34"/>
      <c r="AY60" s="1" t="str">
        <f>IFERROR(INDEX(Калькулятор!E:E,MATCH(B60,Калькулятор!D:D,0)),"")</f>
        <v/>
      </c>
      <c r="AZ60" s="45" t="str">
        <f>IFERROR(INDEX(Калькулятор!F:F,MATCH(B60,Калькулятор!D:D,0)),"")</f>
        <v/>
      </c>
      <c r="BA60" s="1" t="str">
        <f>IFERROR(INDEX(Калькулятор!G:G,MATCH(B60,Калькулятор!D:D,0)),"")</f>
        <v/>
      </c>
    </row>
    <row r="61" spans="1:57" ht="1.5" customHeight="1">
      <c r="A61" s="13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T61" s="10"/>
      <c r="AU61" s="10"/>
      <c r="AV61" s="10"/>
      <c r="AW61" s="10"/>
      <c r="AZ61" s="45" t="e">
        <f>INDEX(Калькулятор!F:F,MATCH(B61,Калькулятор!D:D,0))</f>
        <v>#N/A</v>
      </c>
      <c r="BA61" s="1" t="e">
        <f>INDEX(Калькулятор!G:G,MATCH(B61,Калькулятор!D:D,0))</f>
        <v>#N/A</v>
      </c>
    </row>
    <row r="62" spans="1:57" ht="13.5" customHeight="1">
      <c r="A62" s="237" t="s">
        <v>436</v>
      </c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45" t="s">
        <v>437</v>
      </c>
      <c r="M62" s="245"/>
      <c r="N62" s="245"/>
      <c r="O62" s="250"/>
      <c r="P62" s="31" t="s">
        <v>384</v>
      </c>
      <c r="R62" s="245" t="s">
        <v>438</v>
      </c>
      <c r="S62" s="245"/>
      <c r="T62" s="245"/>
      <c r="U62" s="250"/>
      <c r="V62" s="31" t="s">
        <v>384</v>
      </c>
      <c r="W62" s="5"/>
      <c r="X62" s="3"/>
      <c r="Y62" s="3"/>
      <c r="Z62" s="3"/>
      <c r="AA62" s="3"/>
      <c r="AB62" s="3"/>
      <c r="AC62" s="237" t="s">
        <v>439</v>
      </c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P62" s="245" t="s">
        <v>440</v>
      </c>
      <c r="AQ62" s="250"/>
      <c r="AR62" s="36"/>
      <c r="AT62" s="245" t="s">
        <v>441</v>
      </c>
      <c r="AU62" s="250"/>
      <c r="AV62" s="37"/>
    </row>
    <row r="63" spans="1:57" ht="1.5" customHeight="1">
      <c r="A63" s="13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T63" s="10"/>
      <c r="AU63" s="10"/>
      <c r="AV63" s="10"/>
      <c r="AW63" s="10"/>
    </row>
    <row r="64" spans="1:57" ht="14.1" customHeight="1">
      <c r="A64" s="237" t="s">
        <v>442</v>
      </c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45" t="s">
        <v>443</v>
      </c>
      <c r="R64" s="245"/>
      <c r="S64" s="245"/>
      <c r="T64" s="250"/>
      <c r="U64" s="36"/>
      <c r="W64" s="245" t="s">
        <v>444</v>
      </c>
      <c r="X64" s="245"/>
      <c r="Y64" s="245"/>
      <c r="Z64" s="250"/>
      <c r="AA64" s="37"/>
      <c r="AC64" s="345" t="s">
        <v>445</v>
      </c>
      <c r="AD64" s="345"/>
      <c r="AE64" s="345"/>
      <c r="AF64" s="345"/>
      <c r="AG64" s="345"/>
      <c r="AH64" s="345"/>
      <c r="AI64" s="345"/>
      <c r="AJ64" s="345"/>
      <c r="AK64" s="249" t="s">
        <v>446</v>
      </c>
      <c r="AL64" s="249"/>
      <c r="AM64" s="249"/>
      <c r="AN64" s="346"/>
      <c r="AO64" s="37"/>
      <c r="AP64" s="38"/>
      <c r="AQ64" s="249" t="s">
        <v>447</v>
      </c>
      <c r="AR64" s="249"/>
      <c r="AS64" s="249"/>
      <c r="AT64" s="249"/>
      <c r="AU64" s="249"/>
      <c r="AV64" s="249"/>
      <c r="AW64" s="346"/>
      <c r="AX64" s="36"/>
    </row>
    <row r="65" spans="1:50" ht="1.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2"/>
      <c r="M65" s="12"/>
      <c r="N65" s="12"/>
      <c r="O65" s="13"/>
      <c r="P65" s="13"/>
      <c r="Q65" s="13"/>
      <c r="R65" s="13"/>
      <c r="T65" s="19"/>
      <c r="U65" s="19"/>
      <c r="V65" s="19"/>
      <c r="W65" s="19"/>
      <c r="X65" s="19"/>
      <c r="Y65" s="19"/>
      <c r="Z65" s="13"/>
      <c r="AA65" s="13"/>
      <c r="AB65" s="13"/>
      <c r="AC65" s="10"/>
      <c r="AD65" s="12"/>
      <c r="AE65" s="12"/>
      <c r="AF65" s="10"/>
    </row>
    <row r="66" spans="1:50" ht="14.1" customHeight="1">
      <c r="A66" s="237" t="s">
        <v>448</v>
      </c>
      <c r="B66" s="237"/>
      <c r="C66" s="237"/>
      <c r="D66" s="237"/>
      <c r="E66" s="237"/>
      <c r="F66" s="237"/>
      <c r="G66" s="237"/>
      <c r="H66" s="237"/>
      <c r="I66" s="355" t="s">
        <v>449</v>
      </c>
      <c r="J66" s="355"/>
      <c r="K66" s="355"/>
      <c r="L66" s="355"/>
      <c r="M66" s="355"/>
      <c r="N66" s="355"/>
      <c r="O66" s="245" t="s">
        <v>450</v>
      </c>
      <c r="P66" s="245"/>
      <c r="Q66" s="245"/>
      <c r="R66" s="250"/>
      <c r="S66" s="39">
        <v>16</v>
      </c>
      <c r="T66" s="40"/>
      <c r="U66" s="245" t="s">
        <v>451</v>
      </c>
      <c r="V66" s="245"/>
      <c r="W66" s="250"/>
      <c r="X66" s="39"/>
      <c r="Y66" s="40"/>
      <c r="Z66" s="245" t="s">
        <v>452</v>
      </c>
      <c r="AA66" s="250"/>
      <c r="AB66" s="39"/>
    </row>
    <row r="67" spans="1:50" ht="1.5" customHeight="1">
      <c r="A67" s="9"/>
      <c r="B67" s="9"/>
      <c r="C67" s="9"/>
      <c r="D67" s="9"/>
      <c r="E67" s="9"/>
      <c r="F67" s="9"/>
      <c r="G67" s="13"/>
      <c r="H67" s="13"/>
      <c r="I67" s="19"/>
      <c r="J67" s="19"/>
      <c r="K67" s="13"/>
      <c r="L67" s="13"/>
      <c r="M67" s="19"/>
      <c r="N67" s="19"/>
      <c r="O67" s="13"/>
      <c r="P67" s="13"/>
      <c r="Q67" s="9"/>
      <c r="R67" s="9"/>
      <c r="S67" s="9"/>
      <c r="T67" s="9"/>
      <c r="U67" s="9"/>
      <c r="V67" s="9"/>
      <c r="W67" s="9"/>
      <c r="X67" s="12"/>
      <c r="Y67" s="12"/>
      <c r="Z67" s="13"/>
      <c r="AA67" s="12"/>
      <c r="AB67" s="12"/>
      <c r="AC67" s="10"/>
      <c r="AD67" s="2"/>
    </row>
    <row r="68" spans="1:50" ht="12.75" customHeight="1">
      <c r="A68" s="237" t="s">
        <v>448</v>
      </c>
      <c r="B68" s="237"/>
      <c r="C68" s="237"/>
      <c r="D68" s="237"/>
      <c r="E68" s="237"/>
      <c r="F68" s="237"/>
      <c r="G68" s="237"/>
      <c r="H68" s="237"/>
      <c r="I68" s="355" t="s">
        <v>453</v>
      </c>
      <c r="J68" s="355"/>
      <c r="K68" s="355"/>
      <c r="L68" s="355"/>
      <c r="M68" s="355"/>
      <c r="N68" s="245" t="s">
        <v>454</v>
      </c>
      <c r="O68" s="245"/>
      <c r="P68" s="250"/>
      <c r="Q68" s="39"/>
      <c r="R68" s="40"/>
      <c r="S68" s="245" t="s">
        <v>455</v>
      </c>
      <c r="T68" s="245"/>
      <c r="U68" s="245"/>
      <c r="V68" s="250"/>
      <c r="W68" s="39"/>
      <c r="X68" s="12"/>
      <c r="Y68" s="12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M68" s="10"/>
      <c r="AO68" s="40"/>
      <c r="AP68" s="40"/>
      <c r="AQ68" s="10"/>
    </row>
    <row r="69" spans="1:50" ht="1.5" customHeight="1">
      <c r="A69" s="9"/>
      <c r="B69" s="9"/>
      <c r="C69" s="9"/>
      <c r="D69" s="9"/>
      <c r="E69" s="9"/>
      <c r="F69" s="9"/>
      <c r="G69" s="13"/>
      <c r="H69" s="13"/>
      <c r="I69" s="19"/>
      <c r="J69" s="19"/>
      <c r="K69" s="13"/>
      <c r="L69" s="13"/>
      <c r="M69" s="19"/>
      <c r="N69" s="19"/>
      <c r="O69" s="13"/>
      <c r="P69" s="13"/>
      <c r="Q69" s="9"/>
      <c r="R69" s="9"/>
      <c r="S69" s="9"/>
      <c r="T69" s="9"/>
      <c r="U69" s="9"/>
      <c r="V69" s="9"/>
      <c r="W69" s="9"/>
      <c r="X69" s="12"/>
      <c r="Y69" s="12"/>
      <c r="Z69" s="13"/>
      <c r="AA69" s="12"/>
      <c r="AB69" s="12"/>
      <c r="AC69" s="10"/>
      <c r="AD69" s="2"/>
    </row>
    <row r="70" spans="1:50" ht="12.75" customHeight="1">
      <c r="A70" s="237" t="s">
        <v>448</v>
      </c>
      <c r="B70" s="237"/>
      <c r="C70" s="237"/>
      <c r="D70" s="237"/>
      <c r="E70" s="237"/>
      <c r="F70" s="237"/>
      <c r="G70" s="237"/>
      <c r="H70" s="237"/>
      <c r="I70" s="355" t="s">
        <v>456</v>
      </c>
      <c r="J70" s="355"/>
      <c r="K70" s="355"/>
      <c r="L70" s="355"/>
      <c r="M70" s="355"/>
      <c r="N70" s="355"/>
      <c r="O70" s="355"/>
      <c r="P70" s="245" t="s">
        <v>457</v>
      </c>
      <c r="Q70" s="250"/>
      <c r="R70" s="39"/>
      <c r="S70" s="40"/>
      <c r="T70" s="245" t="s">
        <v>394</v>
      </c>
      <c r="U70" s="250"/>
      <c r="V70" s="41" t="s">
        <v>384</v>
      </c>
      <c r="W70" s="40"/>
      <c r="X70" s="355" t="s">
        <v>458</v>
      </c>
      <c r="Y70" s="355"/>
      <c r="Z70" s="355"/>
      <c r="AA70" s="355"/>
      <c r="AB70" s="355"/>
      <c r="AC70" s="355"/>
      <c r="AD70" s="355"/>
      <c r="AE70" s="355"/>
      <c r="AF70" s="245" t="s">
        <v>459</v>
      </c>
      <c r="AG70" s="245"/>
      <c r="AH70" s="245"/>
      <c r="AI70" s="245"/>
      <c r="AJ70" s="245"/>
      <c r="AK70" s="245"/>
      <c r="AL70" s="245"/>
      <c r="AM70" s="245"/>
      <c r="AN70" s="245"/>
      <c r="AO70" s="250"/>
      <c r="AP70" s="20"/>
      <c r="AQ70" s="10"/>
      <c r="AR70" s="249" t="s">
        <v>444</v>
      </c>
      <c r="AS70" s="249"/>
      <c r="AT70" s="249"/>
      <c r="AU70" s="346"/>
      <c r="AV70" s="20"/>
    </row>
    <row r="71" spans="1:50" ht="1.5" customHeight="1">
      <c r="A71" s="9"/>
      <c r="B71" s="9"/>
      <c r="C71" s="9"/>
      <c r="D71" s="9"/>
      <c r="E71" s="9"/>
      <c r="F71" s="9"/>
      <c r="G71" s="13"/>
      <c r="H71" s="13"/>
      <c r="I71" s="19"/>
      <c r="J71" s="19"/>
      <c r="K71" s="13"/>
      <c r="L71" s="13"/>
      <c r="M71" s="19"/>
      <c r="N71" s="19"/>
      <c r="O71" s="13"/>
      <c r="P71" s="13"/>
      <c r="Q71" s="9"/>
      <c r="R71" s="9"/>
      <c r="S71" s="9"/>
      <c r="T71" s="9"/>
      <c r="U71" s="9"/>
      <c r="V71" s="9"/>
      <c r="W71" s="9"/>
      <c r="X71" s="12"/>
      <c r="Y71" s="12"/>
      <c r="Z71" s="13"/>
      <c r="AA71" s="12"/>
      <c r="AB71" s="12"/>
      <c r="AC71" s="10"/>
      <c r="AD71" s="2"/>
    </row>
    <row r="72" spans="1:50" ht="14.1" customHeight="1">
      <c r="A72" s="357" t="s">
        <v>460</v>
      </c>
      <c r="B72" s="357"/>
      <c r="C72" s="357"/>
      <c r="D72" s="357"/>
      <c r="E72" s="357"/>
      <c r="F72" s="357"/>
      <c r="G72" s="357"/>
      <c r="H72" s="357"/>
      <c r="I72" s="357"/>
      <c r="J72" s="357"/>
      <c r="K72" s="357"/>
      <c r="L72" s="357"/>
      <c r="M72" s="357"/>
      <c r="N72" s="357"/>
      <c r="O72" s="357"/>
      <c r="P72" s="357"/>
      <c r="Q72" s="357"/>
      <c r="R72" s="357"/>
      <c r="S72" s="357"/>
      <c r="T72" s="357"/>
      <c r="U72" s="357"/>
      <c r="V72" s="357"/>
      <c r="W72" s="357"/>
      <c r="X72" s="357"/>
      <c r="Y72" s="357"/>
      <c r="Z72" s="357"/>
      <c r="AA72" s="357"/>
      <c r="AB72" s="357"/>
      <c r="AC72" s="357"/>
      <c r="AD72" s="357"/>
      <c r="AE72" s="357"/>
      <c r="AF72" s="357"/>
      <c r="AG72" s="357"/>
      <c r="AH72" s="357"/>
      <c r="AI72" s="357"/>
      <c r="AJ72" s="245" t="s">
        <v>393</v>
      </c>
      <c r="AK72" s="245"/>
      <c r="AL72" s="42"/>
      <c r="AM72" s="31" t="s">
        <v>384</v>
      </c>
      <c r="AO72" s="245" t="s">
        <v>394</v>
      </c>
      <c r="AP72" s="250"/>
      <c r="AQ72" s="20"/>
    </row>
    <row r="73" spans="1:50" ht="1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50" ht="14.1" customHeight="1">
      <c r="A74" s="237" t="s">
        <v>461</v>
      </c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  <c r="T74" s="237"/>
      <c r="U74" s="245" t="s">
        <v>393</v>
      </c>
      <c r="V74" s="250"/>
      <c r="W74" s="17" t="s">
        <v>384</v>
      </c>
      <c r="Y74" s="245" t="s">
        <v>394</v>
      </c>
      <c r="Z74" s="250"/>
      <c r="AA74" s="16"/>
    </row>
    <row r="75" spans="1:50" ht="1.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R75" s="12"/>
      <c r="AS75" s="12"/>
      <c r="AT75" s="13"/>
      <c r="AV75" s="12"/>
      <c r="AW75" s="12"/>
      <c r="AX75" s="13"/>
    </row>
    <row r="76" spans="1:50" ht="14.1" customHeight="1">
      <c r="A76" s="356" t="s">
        <v>462</v>
      </c>
      <c r="B76" s="356"/>
      <c r="C76" s="356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6"/>
      <c r="Q76" s="356"/>
      <c r="R76" s="356"/>
      <c r="S76" s="356"/>
      <c r="T76" s="356"/>
      <c r="U76" s="356"/>
      <c r="V76" s="356"/>
      <c r="W76" s="356"/>
      <c r="X76" s="356"/>
      <c r="Y76" s="356"/>
      <c r="Z76" s="356"/>
      <c r="AA76" s="356"/>
      <c r="AB76" s="356"/>
      <c r="AC76" s="356"/>
      <c r="AD76" s="356"/>
      <c r="AE76" s="356"/>
      <c r="AF76" s="356"/>
      <c r="AG76" s="356"/>
      <c r="AH76" s="356"/>
      <c r="AI76" s="356"/>
      <c r="AJ76" s="356"/>
      <c r="AK76" s="356"/>
      <c r="AL76" s="356"/>
      <c r="AM76" s="356"/>
      <c r="AN76" s="356"/>
      <c r="AO76" s="356"/>
      <c r="AP76" s="356"/>
      <c r="AQ76" s="356"/>
      <c r="AR76" s="356"/>
      <c r="AS76" s="356"/>
      <c r="AT76" s="356"/>
      <c r="AU76" s="356"/>
      <c r="AV76" s="356"/>
      <c r="AW76" s="356"/>
      <c r="AX76" s="356"/>
    </row>
    <row r="77" spans="1:50" ht="14.1" customHeight="1">
      <c r="A77" s="356"/>
      <c r="B77" s="356"/>
      <c r="C77" s="356"/>
      <c r="D77" s="356"/>
      <c r="E77" s="356"/>
      <c r="F77" s="356"/>
      <c r="G77" s="356"/>
      <c r="H77" s="356"/>
      <c r="I77" s="356"/>
      <c r="J77" s="356"/>
      <c r="K77" s="356"/>
      <c r="L77" s="356"/>
      <c r="M77" s="356"/>
      <c r="N77" s="356"/>
      <c r="O77" s="356"/>
      <c r="P77" s="356"/>
      <c r="Q77" s="356"/>
      <c r="R77" s="356"/>
      <c r="S77" s="356"/>
      <c r="T77" s="356"/>
      <c r="U77" s="356"/>
      <c r="V77" s="356"/>
      <c r="W77" s="356"/>
      <c r="X77" s="356"/>
      <c r="Y77" s="356"/>
      <c r="Z77" s="356"/>
      <c r="AA77" s="356"/>
      <c r="AB77" s="356"/>
      <c r="AC77" s="356"/>
      <c r="AD77" s="356"/>
      <c r="AE77" s="356"/>
      <c r="AF77" s="356"/>
      <c r="AG77" s="356"/>
      <c r="AH77" s="356"/>
      <c r="AI77" s="356"/>
      <c r="AJ77" s="356"/>
      <c r="AK77" s="356"/>
      <c r="AL77" s="356"/>
      <c r="AM77" s="356"/>
      <c r="AN77" s="356"/>
      <c r="AO77" s="356"/>
      <c r="AP77" s="356"/>
      <c r="AQ77" s="356"/>
      <c r="AR77" s="356"/>
      <c r="AS77" s="356"/>
      <c r="AT77" s="356"/>
      <c r="AU77" s="356"/>
      <c r="AV77" s="356"/>
      <c r="AW77" s="356"/>
      <c r="AX77" s="356"/>
    </row>
    <row r="78" spans="1:50">
      <c r="A78" s="43" t="s">
        <v>463</v>
      </c>
    </row>
  </sheetData>
  <mergeCells count="316">
    <mergeCell ref="A76:AX77"/>
    <mergeCell ref="AR70:AU70"/>
    <mergeCell ref="A72:AI72"/>
    <mergeCell ref="AJ72:AK72"/>
    <mergeCell ref="AO72:AP72"/>
    <mergeCell ref="A74:T74"/>
    <mergeCell ref="U74:V74"/>
    <mergeCell ref="Y74:Z74"/>
    <mergeCell ref="A70:H70"/>
    <mergeCell ref="I70:O70"/>
    <mergeCell ref="P70:Q70"/>
    <mergeCell ref="T70:U70"/>
    <mergeCell ref="X70:AE70"/>
    <mergeCell ref="AF70:AO70"/>
    <mergeCell ref="A66:H66"/>
    <mergeCell ref="I66:N66"/>
    <mergeCell ref="O66:R66"/>
    <mergeCell ref="U66:W66"/>
    <mergeCell ref="Z66:AA66"/>
    <mergeCell ref="A68:H68"/>
    <mergeCell ref="I68:M68"/>
    <mergeCell ref="N68:P68"/>
    <mergeCell ref="S68:V68"/>
    <mergeCell ref="A64:P64"/>
    <mergeCell ref="Q64:T64"/>
    <mergeCell ref="W64:Z64"/>
    <mergeCell ref="AC64:AJ64"/>
    <mergeCell ref="AK64:AN64"/>
    <mergeCell ref="AQ64:AW64"/>
    <mergeCell ref="AT60:AW60"/>
    <mergeCell ref="A62:K62"/>
    <mergeCell ref="L62:O62"/>
    <mergeCell ref="R62:U62"/>
    <mergeCell ref="AC62:AN62"/>
    <mergeCell ref="AP62:AQ62"/>
    <mergeCell ref="AT62:AU62"/>
    <mergeCell ref="B60:D60"/>
    <mergeCell ref="E60:G60"/>
    <mergeCell ref="H60:J60"/>
    <mergeCell ref="K60:M60"/>
    <mergeCell ref="N60:P60"/>
    <mergeCell ref="Q60:AM60"/>
    <mergeCell ref="AT58:AW58"/>
    <mergeCell ref="B59:D59"/>
    <mergeCell ref="E59:G59"/>
    <mergeCell ref="H59:J59"/>
    <mergeCell ref="K59:M59"/>
    <mergeCell ref="N59:P59"/>
    <mergeCell ref="Q59:AM59"/>
    <mergeCell ref="AT59:AW59"/>
    <mergeCell ref="B58:D58"/>
    <mergeCell ref="E58:G58"/>
    <mergeCell ref="H58:J58"/>
    <mergeCell ref="K58:M58"/>
    <mergeCell ref="N58:P58"/>
    <mergeCell ref="Q58:AM58"/>
    <mergeCell ref="AT56:AW56"/>
    <mergeCell ref="B57:D57"/>
    <mergeCell ref="E57:G57"/>
    <mergeCell ref="H57:J57"/>
    <mergeCell ref="K57:M57"/>
    <mergeCell ref="N57:P57"/>
    <mergeCell ref="Q57:AM57"/>
    <mergeCell ref="AT57:AW57"/>
    <mergeCell ref="B56:D56"/>
    <mergeCell ref="E56:G56"/>
    <mergeCell ref="H56:J56"/>
    <mergeCell ref="K56:M56"/>
    <mergeCell ref="N56:P56"/>
    <mergeCell ref="Q56:AM56"/>
    <mergeCell ref="AT54:AW54"/>
    <mergeCell ref="B55:D55"/>
    <mergeCell ref="E55:G55"/>
    <mergeCell ref="H55:J55"/>
    <mergeCell ref="K55:M55"/>
    <mergeCell ref="N55:P55"/>
    <mergeCell ref="Q55:AM55"/>
    <mergeCell ref="AT55:AW55"/>
    <mergeCell ref="B54:D54"/>
    <mergeCell ref="E54:G54"/>
    <mergeCell ref="H54:J54"/>
    <mergeCell ref="K54:M54"/>
    <mergeCell ref="N54:P54"/>
    <mergeCell ref="Q54:AM54"/>
    <mergeCell ref="AT52:AW52"/>
    <mergeCell ref="B53:D53"/>
    <mergeCell ref="E53:G53"/>
    <mergeCell ref="H53:J53"/>
    <mergeCell ref="K53:M53"/>
    <mergeCell ref="N53:P53"/>
    <mergeCell ref="Q53:AM53"/>
    <mergeCell ref="AT53:AW53"/>
    <mergeCell ref="B52:D52"/>
    <mergeCell ref="E52:G52"/>
    <mergeCell ref="H52:J52"/>
    <mergeCell ref="K52:M52"/>
    <mergeCell ref="N52:P52"/>
    <mergeCell ref="Q52:AM52"/>
    <mergeCell ref="AT50:AW50"/>
    <mergeCell ref="B51:D51"/>
    <mergeCell ref="E51:G51"/>
    <mergeCell ref="H51:J51"/>
    <mergeCell ref="K51:M51"/>
    <mergeCell ref="N51:P51"/>
    <mergeCell ref="Q51:AM51"/>
    <mergeCell ref="AT51:AW51"/>
    <mergeCell ref="B50:D50"/>
    <mergeCell ref="E50:G50"/>
    <mergeCell ref="H50:J50"/>
    <mergeCell ref="K50:M50"/>
    <mergeCell ref="N50:P50"/>
    <mergeCell ref="Q50:AM50"/>
    <mergeCell ref="AT48:AW48"/>
    <mergeCell ref="B49:D49"/>
    <mergeCell ref="E49:G49"/>
    <mergeCell ref="H49:J49"/>
    <mergeCell ref="K49:M49"/>
    <mergeCell ref="N49:P49"/>
    <mergeCell ref="Q49:AM49"/>
    <mergeCell ref="AT49:AW49"/>
    <mergeCell ref="B48:D48"/>
    <mergeCell ref="E48:G48"/>
    <mergeCell ref="H48:J48"/>
    <mergeCell ref="K48:M48"/>
    <mergeCell ref="N48:P48"/>
    <mergeCell ref="Q48:AM48"/>
    <mergeCell ref="AT46:AW46"/>
    <mergeCell ref="B47:D47"/>
    <mergeCell ref="E47:G47"/>
    <mergeCell ref="H47:J47"/>
    <mergeCell ref="K47:M47"/>
    <mergeCell ref="N47:P47"/>
    <mergeCell ref="Q47:AM47"/>
    <mergeCell ref="AT47:AW47"/>
    <mergeCell ref="B46:D46"/>
    <mergeCell ref="E46:G46"/>
    <mergeCell ref="H46:J46"/>
    <mergeCell ref="K46:M46"/>
    <mergeCell ref="N46:P46"/>
    <mergeCell ref="Q46:AM46"/>
    <mergeCell ref="AT44:AW44"/>
    <mergeCell ref="B45:D45"/>
    <mergeCell ref="E45:G45"/>
    <mergeCell ref="H45:J45"/>
    <mergeCell ref="K45:M45"/>
    <mergeCell ref="N45:P45"/>
    <mergeCell ref="Q45:AM45"/>
    <mergeCell ref="AT45:AW45"/>
    <mergeCell ref="B44:D44"/>
    <mergeCell ref="E44:G44"/>
    <mergeCell ref="H44:J44"/>
    <mergeCell ref="K44:M44"/>
    <mergeCell ref="N44:P44"/>
    <mergeCell ref="Q44:AM44"/>
    <mergeCell ref="AT42:AW42"/>
    <mergeCell ref="B43:D43"/>
    <mergeCell ref="E43:G43"/>
    <mergeCell ref="H43:J43"/>
    <mergeCell ref="K43:M43"/>
    <mergeCell ref="N43:P43"/>
    <mergeCell ref="Q43:AM43"/>
    <mergeCell ref="AT43:AW43"/>
    <mergeCell ref="B42:D42"/>
    <mergeCell ref="E42:G42"/>
    <mergeCell ref="H42:J42"/>
    <mergeCell ref="K42:M42"/>
    <mergeCell ref="N42:P42"/>
    <mergeCell ref="Q42:AM42"/>
    <mergeCell ref="AT40:AW40"/>
    <mergeCell ref="B41:D41"/>
    <mergeCell ref="E41:G41"/>
    <mergeCell ref="H41:J41"/>
    <mergeCell ref="K41:M41"/>
    <mergeCell ref="N41:P41"/>
    <mergeCell ref="Q41:AM41"/>
    <mergeCell ref="AT41:AW41"/>
    <mergeCell ref="AR34:AR39"/>
    <mergeCell ref="AS34:AS39"/>
    <mergeCell ref="B40:D40"/>
    <mergeCell ref="E40:G40"/>
    <mergeCell ref="H40:J40"/>
    <mergeCell ref="K40:M40"/>
    <mergeCell ref="N40:P40"/>
    <mergeCell ref="Q40:AM40"/>
    <mergeCell ref="AT33:AW39"/>
    <mergeCell ref="A31:AE31"/>
    <mergeCell ref="A32:A39"/>
    <mergeCell ref="B32:AM33"/>
    <mergeCell ref="AN32:AO32"/>
    <mergeCell ref="AP32:AS32"/>
    <mergeCell ref="AT32:AX32"/>
    <mergeCell ref="AN33:AN39"/>
    <mergeCell ref="AO33:AO39"/>
    <mergeCell ref="AP33:AQ33"/>
    <mergeCell ref="AR33:AS33"/>
    <mergeCell ref="AX33:AX39"/>
    <mergeCell ref="B34:D39"/>
    <mergeCell ref="E34:G39"/>
    <mergeCell ref="H34:J39"/>
    <mergeCell ref="K34:M39"/>
    <mergeCell ref="N34:P39"/>
    <mergeCell ref="Q34:AM39"/>
    <mergeCell ref="AP34:AP39"/>
    <mergeCell ref="AQ34:AQ39"/>
    <mergeCell ref="A28:Q28"/>
    <mergeCell ref="R28:S28"/>
    <mergeCell ref="V28:W28"/>
    <mergeCell ref="Z28:AC28"/>
    <mergeCell ref="AD28:AK28"/>
    <mergeCell ref="A29:D29"/>
    <mergeCell ref="E29:AX29"/>
    <mergeCell ref="A26:L26"/>
    <mergeCell ref="M26:Y26"/>
    <mergeCell ref="AC26:AF26"/>
    <mergeCell ref="AG26:AJ26"/>
    <mergeCell ref="AM26:AP26"/>
    <mergeCell ref="AQ26:AX26"/>
    <mergeCell ref="A24:L24"/>
    <mergeCell ref="M24:Y24"/>
    <mergeCell ref="AC24:AF24"/>
    <mergeCell ref="AG24:AJ24"/>
    <mergeCell ref="AM24:AP24"/>
    <mergeCell ref="AQ24:AX24"/>
    <mergeCell ref="A22:D22"/>
    <mergeCell ref="E22:P22"/>
    <mergeCell ref="R22:U22"/>
    <mergeCell ref="V22:X22"/>
    <mergeCell ref="Z22:AD22"/>
    <mergeCell ref="AH22:AM22"/>
    <mergeCell ref="A20:F20"/>
    <mergeCell ref="G20:O20"/>
    <mergeCell ref="R20:W20"/>
    <mergeCell ref="X20:AF20"/>
    <mergeCell ref="AI20:AK20"/>
    <mergeCell ref="AM20:AU20"/>
    <mergeCell ref="A19:K19"/>
    <mergeCell ref="L19:AG19"/>
    <mergeCell ref="AH19:AK19"/>
    <mergeCell ref="AM19:AR19"/>
    <mergeCell ref="AS19:AV19"/>
    <mergeCell ref="AW19:AX19"/>
    <mergeCell ref="A18:K18"/>
    <mergeCell ref="L18:AG18"/>
    <mergeCell ref="AH18:AK18"/>
    <mergeCell ref="AM18:AR18"/>
    <mergeCell ref="AS18:AV18"/>
    <mergeCell ref="AW18:AX18"/>
    <mergeCell ref="A17:K17"/>
    <mergeCell ref="L17:AG17"/>
    <mergeCell ref="AH17:AK17"/>
    <mergeCell ref="AM17:AR17"/>
    <mergeCell ref="AS17:AV17"/>
    <mergeCell ref="AW17:AX17"/>
    <mergeCell ref="A16:K16"/>
    <mergeCell ref="L16:AG16"/>
    <mergeCell ref="AH16:AK16"/>
    <mergeCell ref="AM16:AR16"/>
    <mergeCell ref="AS16:AV16"/>
    <mergeCell ref="AW16:AX16"/>
    <mergeCell ref="A15:G15"/>
    <mergeCell ref="H15:AE15"/>
    <mergeCell ref="AF15:AI15"/>
    <mergeCell ref="AJ15:AK15"/>
    <mergeCell ref="AM15:AP15"/>
    <mergeCell ref="AQ15:AX15"/>
    <mergeCell ref="AK13:AR13"/>
    <mergeCell ref="AS13:AT13"/>
    <mergeCell ref="AV13:AW13"/>
    <mergeCell ref="A14:G14"/>
    <mergeCell ref="H14:AE14"/>
    <mergeCell ref="AF14:AI14"/>
    <mergeCell ref="AJ14:AK14"/>
    <mergeCell ref="AM14:AP14"/>
    <mergeCell ref="AQ14:AX14"/>
    <mergeCell ref="F13:K13"/>
    <mergeCell ref="L13:P13"/>
    <mergeCell ref="Q13:U13"/>
    <mergeCell ref="V13:AA13"/>
    <mergeCell ref="AB13:AD13"/>
    <mergeCell ref="AE13:AJ13"/>
    <mergeCell ref="A11:G11"/>
    <mergeCell ref="H11:Z11"/>
    <mergeCell ref="AA11:AD11"/>
    <mergeCell ref="AE11:AJ11"/>
    <mergeCell ref="AN11:AR11"/>
    <mergeCell ref="AS11:AX11"/>
    <mergeCell ref="A9:G9"/>
    <mergeCell ref="H9:Z9"/>
    <mergeCell ref="AA9:AD9"/>
    <mergeCell ref="AE9:AJ9"/>
    <mergeCell ref="AN9:AR9"/>
    <mergeCell ref="AS9:AX9"/>
    <mergeCell ref="A7:G7"/>
    <mergeCell ref="H7:Z7"/>
    <mergeCell ref="AA7:AD7"/>
    <mergeCell ref="AE7:AJ7"/>
    <mergeCell ref="AN7:AR7"/>
    <mergeCell ref="AS7:AX7"/>
    <mergeCell ref="A5:G5"/>
    <mergeCell ref="H5:Z5"/>
    <mergeCell ref="AA5:AD5"/>
    <mergeCell ref="AE5:AJ5"/>
    <mergeCell ref="AN5:AR5"/>
    <mergeCell ref="AS5:AX5"/>
    <mergeCell ref="A3:E3"/>
    <mergeCell ref="F3:S3"/>
    <mergeCell ref="Z3:AC3"/>
    <mergeCell ref="AD3:AM3"/>
    <mergeCell ref="AJ4:AK4"/>
    <mergeCell ref="AM4:AN4"/>
    <mergeCell ref="P1:V1"/>
    <mergeCell ref="W1:AD1"/>
    <mergeCell ref="A2:C2"/>
    <mergeCell ref="D2:H2"/>
    <mergeCell ref="Z2:AK2"/>
    <mergeCell ref="AM2:AX2"/>
  </mergeCells>
  <dataValidations count="1">
    <dataValidation type="list" allowBlank="1" showInputMessage="1" showErrorMessage="1" sqref="N40:P60">
      <formula1>$BG$13:$BG$16</formula1>
    </dataValidation>
  </dataValidations>
  <hyperlinks>
    <hyperlink ref="B34:D39" r:id="rId1" display="артикул модуля"/>
    <hyperlink ref="N34:P39" r:id="rId2" display="тип модуля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Калькулятор!$D$4:$D$223</xm:f>
          </x14:formula1>
          <xm:sqref>B40:D60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3 7 9 3 d a f 8 - d 9 2 3 - 4 6 b 4 - a 8 6 5 - a f 4 1 e d a c d 1 0 2 "   x m l n s = " h t t p : / / s c h e m a s . m i c r o s o f t . c o m / D a t a M a s h u p " > A A A A A N E H A A B Q S w M E F A A C A A g A 0 2 g z X H x X 1 j W n A A A A + A A A A B I A H A B D b 2 5 m a W c v U G F j a 2 F n Z S 5 4 b W w g o h g A K K A U A A A A A A A A A A A A A A A A A A A A A A A A A A A A h Y 8 x D o I w G E a v Q r r T F h R D y E 8 Z X C U x G o 1 r U y s 0 Q j G l t d z N w S N 5 B U k U d X P 8 X t 7 w v s f t D s X Q N s F V m l 5 1 O k c R p i i Q W n R H p a s c O X s K U 1 Q w W H N x 5 p U M R l n 3 2 d A f c 1 R b e 8 k I 8 d 5 j P 8 O d q U h M a U Q O 5 W o r a t l y 9 J H V f z l U u r d c C 4 k Y 7 F 8 x L M Z J h O d p m u B 4 E Q G Z M J R K f 5 V 4 L M Y U y A + E p W u s M 5 I Z F 2 5 2 Q K Y J 5 P 2 C P Q F Q S w M E F A A C A A g A 0 2 g z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N N o M 1 z U J z J k 0 Q Q A A C Y Y A A A T A B w A R m 9 y b X V s Y X M v U 2 V j d G l v b j E u b S C i G A A o o B Q A A A A A A A A A A A A A A A A A A A A A A A A A A A D t W F t v G k c U f r f k / z B a v 0 B K w A s 4 v U R u l Z o q j a v m w V i K K o S i N U y C F d i l u 0 u K Z S H Z p k q k 2 F K i l I e o f X B v D 3 n E b t x s D c Z / Y e Y f 9 c z M c t k r i 5 2 0 s h Q E M j q 3 O e f 7 z p w 9 2 M A l c 1 N T U V 7 8 l W / O z 8 3 P G R V F x 2 V E f i d d c k R 6 x K J P 4 N v P Z E B 3 y D l t 0 1 2 0 j K r Y n J 9 D 8 C K v 6 C 7 d A 9 1 T c k Y s c g q 6 r 5 o l X E 2 u N H Q d q + Y 9 T X + 0 o W m P Y v H t w l 2 l h p e l 4 L h S s V V Y 0 V Q T 3 I o J E X 5 B I q / I W 9 I n J x C e f c 7 o P v k H w Y k W O Z f g s H V l o 4 q T 6 7 q i G g 8 0 v b a i V R s 1 d X 2 r j o 2 Y O 7 X E 9 r a I N i B H c G S X / M 0 j W u R E S i A T X J C i b r U S C K w O w e Y t T 9 C i z 0 F 7 R z V v Z J M s r N C / o D s 8 h V P a J r 2 h t 4 m b p l C / p P t 0 F w 7 e I 1 0 f 5 9 c Q d A e c z 3 y 1 P 5 E e B D 0 K 1 P / G S g J t H + J D e f R g e L z a q G 1 g X R g B q K R 3 n R y T g W + E N n j 3 e X S P 5 y F P D f A G 1 L p O d M b 1 v S B v w O w E O o H + y M s 8 J Z b D q h U f 8 9 c B r N r k L x Y J w Z c 3 E L Y 3 o h J E n C M Q H d E n d H 9 M a R 5 X o S k F n 0 Y s v A 8 S P p R 5 S X L z 4 m b C i 7 0 L S C d 0 Q t k X O b G Q P J Q l T d Y e n H N 6 S v P O D B z v b v + M g p i B V g K L A W M P o i G 4 h D b 3 E / n 2 G c U W 4 H J g G / f d F K 1 p P 0 z h J w 0 Z Y K V U Q Q U n S 0 X 0 O V p E m g 7 y E b B c F g l B e T q C F y y Q Q z l J t Z h l p S 1 x i V r x + b l N N V K G j n n 6 C 9 Q M n M m R x u d o b t 7 D G 0 l 7 K B o x q W K a d e O z V K q s l Y z k Q 0 1 7 C N W X t F r K q O t Y K R s V j E 0 j V U 7 J 3 2 N t V V + 9 n c t 9 v a r U V 6 + b u c b 9 7 1 b y W 4 s g a + R y + f y X 3 8 r q 3 d u 1 T L 5 x K 4 W b d U 0 3 v 2 D 4 K e Z y s 2 o 0 p X g C h k K 1 C o 2 j N / C Q j V E B 9 / P s H E j V n f 1 2 4 Y 6 J a z D i h 5 Z S 4 p t N t b w s c Q c 2 3 n O K q b y T 2 e 7 M h T E m 1 L J n W g l 5 O k C e C Z B n A + R L 7 m e F E N / w F 3 / s L / 7 E X / y p v 1 h e D J A H 1 S o H F S s H V S t n v c 8 J W 7 P k 1 E R u f k f v L 4 Q 8 9 V E s H Z c + r B Q f V o o r u V J M X R B Y U z 5 l h Y E j W L H y u s B k F 7 I e k G P E 3 o A 7 V N 9 m N X C 3 P 4 c W S E a e n c W h d C 8 w Y 2 U 6 z D M d 5 p k J 8 8 y E e W b D P L N e z 1 8 5 C h a 7 p w J 8 6 f 1 t J z M u U / a + s u A g + E r s J u P 0 / o h 8 M d Z w T X u M I 1 0 M m d + M c Q K O a 8 n G I B x 5 L A 6 F m t h h 9 I D P x 2 P o h D 0 Q s 2 J 2 W d U Q k o / N Z y A 8 p X v j b G 6 V y y K V W J Q i W C M d h p 8 z p H P z A W y a s 9 / J I m Q m I 7 O C V R S L F Q J v Z x F d Q 4 X A 6 1 m M o x S S F / k r z i z d r Y W r B r 5 M h u l h h p d J 8 S P k 8 H Y O k e K 1 Q u A M K c b f d 3 2 Z / 7 k + t 2 8 m x D f z H 2 O T v c L Y u H 2 z I b 5 L Y b g G A j s 5 s g 8 B V 1 g z R p O W z 4 s I 8 1 G F P X N i P l 5 u 0 v E Z P n 1 m s V p Y d m w x A j 0 8 J n f Y w J 1 l x M s h M 3 4 m K P z X o Q v s N 6 0 L k i G H s D E d B Y 5 4 6 F r V k S W x i I b u V 6 + 9 V j 6 L V i f t Z + W J 5 b X y W b 0 6 G T 8 r T y y v l c 8 y 1 s n 6 W X l i Z Z 0 9 Z r M E / J 2 z 3 1 X 0 O W O W U R 7 h 2 m h 6 G e s X 7 D m x a U z d u P 3 u i E 2 o z Z h N i Y 2 5 D a q N m g 2 L X f f 0 p X S W A t I h L T s z q P a / 9 / x r 7 Q 9 b y Z s 8 q N c k 9 6 / 2 2 a q 4 + S 9 Q S w E C L Q A U A A I A C A D T a D N c f F f W N a c A A A D 4 A A A A E g A A A A A A A A A A A A A A A A A A A A A A Q 2 9 u Z m l n L 1 B h Y 2 t h Z 2 U u e G 1 s U E s B A i 0 A F A A C A A g A 0 2 g z X F N y O C y b A A A A 4 Q A A A B M A A A A A A A A A A A A A A A A A 8 w A A A F t D b 2 5 0 Z W 5 0 X 1 R 5 c G V z X S 5 4 b W x Q S w E C L Q A U A A I A C A D T a D N c 1 C c y Z N E E A A A m G A A A E w A A A A A A A A A A A A A A A A D b A Q A A R m 9 y b X V s Y X M v U 2 V j d G l v b j E u b V B L B Q Y A A A A A A w A D A M I A A A D 5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r R A A A A A A A A M l E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l z U H J p d m F 0 Z S I g V m F s d W U 9 I m w w I i A v P j x F b n R y e S B U e X B l P S J R d W V y e U l E I i B W Y W x 1 Z T 0 i c z Q 5 O W Y w Y T Z h L W I y Y j M t N D J h Z S 0 4 Z T Z k L T d k N z R m Z D U 1 N j k 4 M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G a W x s Q 2 9 s d W 1 u T m F t Z X M i I F Z h b H V l P S J z W y Z x d W 9 0 O 9 C f 0 L 7 Q t 9 C 4 0 Y b Q u N G P J n F 1 b 3 Q 7 L C Z x d W 9 0 O 9 C Q 0 Y D R g t C 4 0 L r R g 9 C 7 J n F 1 b 3 Q 7 L C Z x d W 9 0 O 9 C S 0 Y v R g d C + 0 Y L Q s C Z x d W 9 0 O y w m c X V v d D v Q q N C 4 0 Y D Q u N C 9 0 L A m c X V v d D s s J n F 1 b 3 Q 7 0 J P Q u 9 G D 0 L H Q u N C 9 0 L A m c X V v d D s s J n F 1 b 3 Q 7 0 J r Q v t C 7 L d C y 0 L 4 m c X V v d D s s J n F 1 b 3 Q 7 0 K H R g 9 C 8 0 L z Q s C Z x d W 9 0 O y w m c X V v d D v Q m t C + 0 L z Q v N C 1 0 L 3 R g t C w 0 Y D Q u N C 4 J n F 1 b 3 Q 7 X S I g L z 4 8 R W 5 0 c n k g V H l w Z T 0 i R m l s b E 9 i a m V j d F R 5 c G U i I F Z h b H V l P S J z V G F i b G U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Q 2 9 s d W 1 u V H l w Z X M i I F Z h b H V l P S J z Q X d Z R E F 3 T U R F U V k 9 I i A v P j x F b n R y e S B U e X B l P S J G a W x s T G F z d F V w Z G F 0 Z W Q i I F Z h b H V l P S J k M j A y N i 0 w M S 0 x O V Q x M D o w N j o x N i 4 w N D I 3 M j E w W i I g L z 4 8 R W 5 0 c n k g V H l w Z T 0 i R m l s b F N 0 Y X R 1 c y I g V m F s d W U 9 I n N D b 2 1 w b G V 0 Z S I g L z 4 8 R W 5 0 c n k g V H l w Z T 0 i R m l s b E N v d W 5 0 I i B W Y W x 1 Z T 0 i b D A i I C 8 + P E V u d H J 5 I F R 5 c G U 9 I k Z p b G x F c n J v c k N v d W 5 0 I i B W Y W x 1 Z T 0 i b D A i I C 8 + P E V u d H J 5 I F R 5 c G U 9 I k Z p b G x U Y X J n Z X Q i I F Z h b H V l P S J z 0 K L Q s N C x 0 L v Q u N G G 0 L D Q m t C + 0 Y D Q v 9 G D 0 Y F f M i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L Q s N C x 0 L v Q u N G G 0 L D Q m t C + 0 Y D Q v 9 G D 0 Y E v 0 J j Q t 9 C 8 0 L X Q v d C 1 0 L 3 Q v d G L 0 L k g 0 Y L Q u N C / L n v Q n 9 C + 0 L f Q u N G G 0 L j R j y w x f S Z x d W 9 0 O y w m c X V v d D t T Z W N 0 a W 9 u M S / Q o t C w 0 L H Q u 9 C 4 0 Y b Q s N C a 0 L 7 R g N C / 0 Y P R g S / Q m N C 3 0 L z Q t d C 9 0 L X Q v d C 9 0 Y v Q u S D R g t C 4 0 L 8 u e 9 C Q 0 Y D R g t C 4 0 L r R g 9 C 7 L D J 9 J n F 1 b 3 Q 7 L C Z x d W 9 0 O 1 N l Y 3 R p b 2 4 x L 9 C i 0 L D Q s d C 7 0 L j R h t C w 0 J r Q v t G A 0 L / R g 9 G B L 9 C Y 0 L f Q v N C 1 0 L 3 Q t d C 9 0 L 3 R i 9 C 5 I N G C 0 L j Q v y 5 7 0 J L R i 9 G B 0 L 7 R g t C w L D N 9 J n F 1 b 3 Q 7 L C Z x d W 9 0 O 1 N l Y 3 R p b 2 4 x L 9 C i 0 L D Q s d C 7 0 L j R h t C w 0 J r Q v t G A 0 L / R g 9 G B L 9 C Y 0 L f Q v N C 1 0 L 3 Q t d C 9 0 L 3 R i 9 C 5 I N G C 0 L j Q v y 5 7 0 K j Q u N G A 0 L j Q v d C w L D R 9 J n F 1 b 3 Q 7 L C Z x d W 9 0 O 1 N l Y 3 R p b 2 4 x L 9 C i 0 L D Q s d C 7 0 L j R h t C w 0 J r Q v t G A 0 L / R g 9 G B L 9 C Y 0 L f Q v N C 1 0 L 3 Q t d C 9 0 L 3 R i 9 C 5 I N G C 0 L j Q v y 5 7 0 J P Q u 9 G D 0 L H Q u N C 9 0 L A s N X 0 m c X V v d D s s J n F 1 b 3 Q 7 U 2 V j d G l v b j E v 0 K L Q s N C x 0 L v Q u N G G 0 L D Q m t C + 0 Y D Q v 9 G D 0 Y E v 0 J j Q t 9 C 8 0 L X Q v d C 1 0 L 3 Q v d G L 0 L k g 0 Y L Q u N C / L n v Q m t C + 0 L s t 0 L L Q v i w 4 f S Z x d W 9 0 O y w m c X V v d D t T Z W N 0 a W 9 u M S / Q o t C w 0 L H Q u 9 C 4 0 Y b Q s N C a 0 L 7 R g N C / 0 Y P R g S / Q m N C 3 0 L z Q t d C 9 0 L X Q v d C 9 0 Y v Q u S D R g t C 4 0 L 8 x L n v Q o d G D 0 L z Q v N C w L D Z 9 J n F 1 b 3 Q 7 L C Z x d W 9 0 O 1 N l Y 3 R p b 2 4 x L 9 C i 0 L D Q s d C 7 0 L j R h t C w 0 J r Q v t G A 0 L / R g 9 G B L 9 C Y 0 L f Q v N C 1 0 L 3 Q t d C 9 0 L 3 R i 9 C 5 I N G C 0 L j Q v z I u e 9 C a 0 L 7 Q v N C 8 0 L X Q v d G C 0 L D R g N C 4 0 L g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0 K L Q s N C x 0 L v Q u N G G 0 L D Q m t C + 0 Y D Q v 9 G D 0 Y E v 0 J j Q t 9 C 8 0 L X Q v d C 1 0 L 3 Q v d G L 0 L k g 0 Y L Q u N C / L n v Q n 9 C + 0 L f Q u N G G 0 L j R j y w x f S Z x d W 9 0 O y w m c X V v d D t T Z W N 0 a W 9 u M S / Q o t C w 0 L H Q u 9 C 4 0 Y b Q s N C a 0 L 7 R g N C / 0 Y P R g S / Q m N C 3 0 L z Q t d C 9 0 L X Q v d C 9 0 Y v Q u S D R g t C 4 0 L 8 u e 9 C Q 0 Y D R g t C 4 0 L r R g 9 C 7 L D J 9 J n F 1 b 3 Q 7 L C Z x d W 9 0 O 1 N l Y 3 R p b 2 4 x L 9 C i 0 L D Q s d C 7 0 L j R h t C w 0 J r Q v t G A 0 L / R g 9 G B L 9 C Y 0 L f Q v N C 1 0 L 3 Q t d C 9 0 L 3 R i 9 C 5 I N G C 0 L j Q v y 5 7 0 J L R i 9 G B 0 L 7 R g t C w L D N 9 J n F 1 b 3 Q 7 L C Z x d W 9 0 O 1 N l Y 3 R p b 2 4 x L 9 C i 0 L D Q s d C 7 0 L j R h t C w 0 J r Q v t G A 0 L / R g 9 G B L 9 C Y 0 L f Q v N C 1 0 L 3 Q t d C 9 0 L 3 R i 9 C 5 I N G C 0 L j Q v y 5 7 0 K j Q u N G A 0 L j Q v d C w L D R 9 J n F 1 b 3 Q 7 L C Z x d W 9 0 O 1 N l Y 3 R p b 2 4 x L 9 C i 0 L D Q s d C 7 0 L j R h t C w 0 J r Q v t G A 0 L / R g 9 G B L 9 C Y 0 L f Q v N C 1 0 L 3 Q t d C 9 0 L 3 R i 9 C 5 I N G C 0 L j Q v y 5 7 0 J P Q u 9 G D 0 L H Q u N C 9 0 L A s N X 0 m c X V v d D s s J n F 1 b 3 Q 7 U 2 V j d G l v b j E v 0 K L Q s N C x 0 L v Q u N G G 0 L D Q m t C + 0 Y D Q v 9 G D 0 Y E v 0 J j Q t 9 C 8 0 L X Q v d C 1 0 L 3 Q v d G L 0 L k g 0 Y L Q u N C / L n v Q m t C + 0 L s t 0 L L Q v i w 4 f S Z x d W 9 0 O y w m c X V v d D t T Z W N 0 a W 9 u M S / Q o t C w 0 L H Q u 9 C 4 0 Y b Q s N C a 0 L 7 R g N C / 0 Y P R g S / Q m N C 3 0 L z Q t d C 9 0 L X Q v d C 9 0 Y v Q u S D R g t C 4 0 L 8 x L n v Q o d G D 0 L z Q v N C w L D Z 9 J n F 1 b 3 Q 7 L C Z x d W 9 0 O 1 N l Y 3 R p b 2 4 x L 9 C i 0 L D Q s d C 7 0 L j R h t C w 0 J r Q v t G A 0 L / R g 9 G B L 9 C Y 0 L f Q v N C 1 0 L 3 Q t d C 9 0 L 3 R i 9 C 5 I N G C 0 L j Q v z I u e 9 C a 0 L 7 Q v N C 8 0 L X Q v d G C 0 L D R g N C 4 0 L g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E M C U 5 Q i V E M C V C O C V E M S U 4 M S V E M S U 4 M j E 8 L 0 l 0 Z W 1 Q Y X R o P j w v S X R l b U x v Y 2 F 0 a W 9 u P j x T d G F i b G V F b n R y a W V z P j x F b n R y e S B U e X B l P S J G a W x s Q 2 9 1 b n Q i I F Z h b H V l P S J s M T g x I i A v P j x F b n R y e S B U e X B l P S J C d W Z m Z X J O Z X h 0 U m V m c m V z a C I g V m F s d W U 9 I m w x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F c n J v c k N v d W 5 0 I i B W Y W x 1 Z T 0 i b D A i I C 8 + P E V u d H J 5 I F R 5 c G U 9 I k Z p b G x M Y X N 0 V X B k Y X R l Z C I g V m F s d W U 9 I m Q y M D I 0 L T A 1 L T I 0 V D E w O j M z O j U w L j E 5 N T c 1 M T N a I i A v P j x F b n R y e S B U e X B l P S J G a W x s Q 2 9 s d W 1 u V H l w Z X M i I F Z h b H V l P S J z Q m d Z R 0 J n Q U F B Q U F B Q U F Z R 0 J n T U Q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9 C 4 0 Y H R g j E v Q X V 0 b 1 J l b W 9 2 Z W R D b 2 x 1 b W 5 z M S 5 7 Q 2 9 s d W 1 u M S w w f S Z x d W 9 0 O y w m c X V v d D t T Z W N 0 a W 9 u M S / Q m 9 C 4 0 Y H R g j E v Q X V 0 b 1 J l b W 9 2 Z W R D b 2 x 1 b W 5 z M S 5 7 Q 2 9 s d W 1 u M i w x f S Z x d W 9 0 O y w m c X V v d D t T Z W N 0 a W 9 u M S / Q m 9 C 4 0 Y H R g j E v Q X V 0 b 1 J l b W 9 2 Z W R D b 2 x 1 b W 5 z M S 5 7 Q 2 9 s d W 1 u M y w y f S Z x d W 9 0 O y w m c X V v d D t T Z W N 0 a W 9 u M S / Q m 9 C 4 0 Y H R g j E v Q X V 0 b 1 J l b W 9 2 Z W R D b 2 x 1 b W 5 z M S 5 7 Q 2 9 s d W 1 u N C w z f S Z x d W 9 0 O y w m c X V v d D t T Z W N 0 a W 9 u M S / Q m 9 C 4 0 Y H R g j E v Q X V 0 b 1 J l b W 9 2 Z W R D b 2 x 1 b W 5 z M S 5 7 Q 2 9 s d W 1 u N S w 0 f S Z x d W 9 0 O y w m c X V v d D t T Z W N 0 a W 9 u M S / Q m 9 C 4 0 Y H R g j E v Q X V 0 b 1 J l b W 9 2 Z W R D b 2 x 1 b W 5 z M S 5 7 Q 2 9 s d W 1 u N i w 1 f S Z x d W 9 0 O y w m c X V v d D t T Z W N 0 a W 9 u M S / Q m 9 C 4 0 Y H R g j E v Q X V 0 b 1 J l b W 9 2 Z W R D b 2 x 1 b W 5 z M S 5 7 Q 2 9 s d W 1 u N y w 2 f S Z x d W 9 0 O y w m c X V v d D t T Z W N 0 a W 9 u M S / Q m 9 C 4 0 Y H R g j E v Q X V 0 b 1 J l b W 9 2 Z W R D b 2 x 1 b W 5 z M S 5 7 Q 2 9 s d W 1 u O C w 3 f S Z x d W 9 0 O y w m c X V v d D t T Z W N 0 a W 9 u M S / Q m 9 C 4 0 Y H R g j E v Q X V 0 b 1 J l b W 9 2 Z W R D b 2 x 1 b W 5 z M S 5 7 Q 2 9 s d W 1 u O S w 4 f S Z x d W 9 0 O y w m c X V v d D t T Z W N 0 a W 9 u M S / Q m 9 C 4 0 Y H R g j E v Q X V 0 b 1 J l b W 9 2 Z W R D b 2 x 1 b W 5 z M S 5 7 Q 2 9 s d W 1 u M T A s O X 0 m c X V v d D s s J n F 1 b 3 Q 7 U 2 V j d G l v b j E v 0 J v Q u N G B 0 Y I x L 0 F 1 d G 9 S Z W 1 v d m V k Q 2 9 s d W 1 u c z E u e 0 N v b H V t b j E x L D E w f S Z x d W 9 0 O y w m c X V v d D t T Z W N 0 a W 9 u M S / Q m 9 C 4 0 Y H R g j E v Q X V 0 b 1 J l b W 9 2 Z W R D b 2 x 1 b W 5 z M S 5 7 Q 2 9 s d W 1 u M T I s M T F 9 J n F 1 b 3 Q 7 L C Z x d W 9 0 O 1 N l Y 3 R p b 2 4 x L 9 C b 0 L j R g d G C M S 9 B d X R v U m V t b 3 Z l Z E N v b H V t b n M x L n t D b 2 x 1 b W 4 x M y w x M n 0 m c X V v d D s s J n F 1 b 3 Q 7 U 2 V j d G l v b j E v 0 J v Q u N G B 0 Y I x L 0 F 1 d G 9 S Z W 1 v d m V k Q 2 9 s d W 1 u c z E u e 0 N v b H V t b j E 0 L D E z f S Z x d W 9 0 O y w m c X V v d D t T Z W N 0 a W 9 u M S / Q m 9 C 4 0 Y H R g j E v Q X V 0 b 1 J l b W 9 2 Z W R D b 2 x 1 b W 5 z M S 5 7 Q 2 9 s d W 1 u M T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/ Q m 9 C 4 0 Y H R g j E v Q X V 0 b 1 J l b W 9 2 Z W R D b 2 x 1 b W 5 z M S 5 7 Q 2 9 s d W 1 u M S w w f S Z x d W 9 0 O y w m c X V v d D t T Z W N 0 a W 9 u M S / Q m 9 C 4 0 Y H R g j E v Q X V 0 b 1 J l b W 9 2 Z W R D b 2 x 1 b W 5 z M S 5 7 Q 2 9 s d W 1 u M i w x f S Z x d W 9 0 O y w m c X V v d D t T Z W N 0 a W 9 u M S / Q m 9 C 4 0 Y H R g j E v Q X V 0 b 1 J l b W 9 2 Z W R D b 2 x 1 b W 5 z M S 5 7 Q 2 9 s d W 1 u M y w y f S Z x d W 9 0 O y w m c X V v d D t T Z W N 0 a W 9 u M S / Q m 9 C 4 0 Y H R g j E v Q X V 0 b 1 J l b W 9 2 Z W R D b 2 x 1 b W 5 z M S 5 7 Q 2 9 s d W 1 u N C w z f S Z x d W 9 0 O y w m c X V v d D t T Z W N 0 a W 9 u M S / Q m 9 C 4 0 Y H R g j E v Q X V 0 b 1 J l b W 9 2 Z W R D b 2 x 1 b W 5 z M S 5 7 Q 2 9 s d W 1 u N S w 0 f S Z x d W 9 0 O y w m c X V v d D t T Z W N 0 a W 9 u M S / Q m 9 C 4 0 Y H R g j E v Q X V 0 b 1 J l b W 9 2 Z W R D b 2 x 1 b W 5 z M S 5 7 Q 2 9 s d W 1 u N i w 1 f S Z x d W 9 0 O y w m c X V v d D t T Z W N 0 a W 9 u M S / Q m 9 C 4 0 Y H R g j E v Q X V 0 b 1 J l b W 9 2 Z W R D b 2 x 1 b W 5 z M S 5 7 Q 2 9 s d W 1 u N y w 2 f S Z x d W 9 0 O y w m c X V v d D t T Z W N 0 a W 9 u M S / Q m 9 C 4 0 Y H R g j E v Q X V 0 b 1 J l b W 9 2 Z W R D b 2 x 1 b W 5 z M S 5 7 Q 2 9 s d W 1 u O C w 3 f S Z x d W 9 0 O y w m c X V v d D t T Z W N 0 a W 9 u M S / Q m 9 C 4 0 Y H R g j E v Q X V 0 b 1 J l b W 9 2 Z W R D b 2 x 1 b W 5 z M S 5 7 Q 2 9 s d W 1 u O S w 4 f S Z x d W 9 0 O y w m c X V v d D t T Z W N 0 a W 9 u M S / Q m 9 C 4 0 Y H R g j E v Q X V 0 b 1 J l b W 9 2 Z W R D b 2 x 1 b W 5 z M S 5 7 Q 2 9 s d W 1 u M T A s O X 0 m c X V v d D s s J n F 1 b 3 Q 7 U 2 V j d G l v b j E v 0 J v Q u N G B 0 Y I x L 0 F 1 d G 9 S Z W 1 v d m V k Q 2 9 s d W 1 u c z E u e 0 N v b H V t b j E x L D E w f S Z x d W 9 0 O y w m c X V v d D t T Z W N 0 a W 9 u M S / Q m 9 C 4 0 Y H R g j E v Q X V 0 b 1 J l b W 9 2 Z W R D b 2 x 1 b W 5 z M S 5 7 Q 2 9 s d W 1 u M T I s M T F 9 J n F 1 b 3 Q 7 L C Z x d W 9 0 O 1 N l Y 3 R p b 2 4 x L 9 C b 0 L j R g d G C M S 9 B d X R v U m V t b 3 Z l Z E N v b H V t b n M x L n t D b 2 x 1 b W 4 x M y w x M n 0 m c X V v d D s s J n F 1 b 3 Q 7 U 2 V j d G l v b j E v 0 J v Q u N G B 0 Y I x L 0 F 1 d G 9 S Z W 1 v d m V k Q 2 9 s d W 1 u c z E u e 0 N v b H V t b j E 0 L D E z f S Z x d W 9 0 O y w m c X V v d D t T Z W N 0 a W 9 u M S / Q m 9 C 4 0 Y H R g j E v Q X V 0 b 1 J l b W 9 2 Z W R D b 2 x 1 b W 5 z M S 5 7 Q 2 9 s d W 1 u M T U s M T R 9 J n F 1 b 3 Q 7 X S w m c X V v d D t S Z W x h d G l v b n N o a X B J b m Z v J n F 1 b 3 Q 7 O l t d f S I g L z 4 8 R W 5 0 c n k g V H l w Z T 0 i T m F t Z V V w Z G F 0 Z W R B Z n R l c k Z p b G w i I F Z h b H V l P S J s M C I g L z 4 8 R W 5 0 c n k g V H l w Z T 0 i R m l s b E 9 i a m V j d F R 5 c G U i I F Z h b H V l P S J z Q 2 9 u b m V j d G l v b k 9 u b H k i I C 8 + P E V u d H J 5 I F R 5 c G U 9 I k 5 h d m l n Y X R p b 2 5 T d G V w T m F t Z S I g V m F s d W U 9 I n P Q n d C w 0 L L Q u N C z 0 L D R h t C 4 0 Y 8 i I C 8 + P E V u d H J 5 I F R 5 c G U 9 I l F 1 Z X J 5 S U Q i I F Z h b H V l P S J z Z T E 1 Y 2 J k M D I t N T Y 3 Y S 0 0 M T M 5 L T l l Y z U t Y j Q 0 M 2 M 4 O D Q w M D I z I i A v P j x F b n R y e S B U e X B l P S J S Z X N 1 b H R U e X B l I i B W Y W x 1 Z T 0 i c 1 R h Y m x l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U Q w J T l B J U Q w J U J F J U Q x J T g w J U Q w J U J G J U Q x J T g z J U Q x J T g x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Q i V E M C V C O C V E M S U 4 M S V E M S U 4 M j E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x J U Q x J T g y M S 8 l R D A l O U I l R D A l Q j g l R D E l O D E l R D E l O D I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C J U Q w J U I 4 J U Q x J T g x J U Q x J T g y M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U Q w J T l B J U Q w J U J F J U Q x J T g w J U Q w J U J G J U Q x J T g z J U Q x J T g x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v J U Q w J T k 4 J U Q w J U I 3 J U Q w J U J D J U Q w J U I 1 J U Q w J U J E J U Q w J U I 1 J U Q w J U J E J U Q w J U J E J U Q x J T h C J U Q w J U I 5 J T I w J U Q x J T g y J U Q w J U I 4 J U Q w J U J G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v J U Q w J T k 4 J U Q w J U I 3 J U Q w J U J D J U Q w J U I 1 J U Q w J U J E J U Q w J U I 1 J U Q w J U J E J U Q w J U J E J U Q x J T h C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U y M C g y K T w v S X R l b V B h d G g + P C 9 J d G V t T G 9 j Y X R p b 2 4 + P F N 0 Y W J s Z U V u d H J p Z X M + P E V u d H J 5 I F R 5 c G U 9 I k 5 h d m l n Y X R p b 2 5 T d G V w T m F t Z S I g V m F s d W U 9 I n P Q n d C w 0 L L Q u N C z 0 L D R h t C 4 0 Y 8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Z W R D b 2 1 w b G V 0 Z V J l c 3 V s d F R v V 2 9 y a 3 N o Z W V 0 I i B W Y W x 1 Z T 0 i b D E i I C 8 + P E V u d H J 5 I F R 5 c G U 9 I k l z U H J p d m F 0 Z S I g V m F s d W U 9 I m w w I i A v P j x F b n R y e S B U e X B l P S J R d W V y e U l E I i B W Y W x 1 Z T 0 i c z M 3 M 2 U w M z E x L T d m Y W I t N D F h Y i 0 5 N j J m L T d m Z W R h Y W M 3 M D A 2 O C I g L z 4 8 R W 5 0 c n k g V H l w Z T 0 i T m F t Z V V w Z G F 0 Z W R B Z n R l c k Z p b G w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v R G F 0 Y U 1 v Z G V s R W 5 h Y m x l Z C I g V m F s d W U 9 I m w w I i A v P j x F b n R y e S B U e X B l P S J M b 2 F k Z W R U b 0 F u Y W x 5 c 2 l z U 2 V y d m l j Z X M i I F Z h b H V l P S J s M C I g L z 4 8 R W 5 0 c n k g V H l w Z T 0 i R m l s b E V y c m 9 y Q 2 9 1 b n Q i I F Z h b H V l P S J s M C I g L z 4 8 R W 5 0 c n k g V H l w Z T 0 i Q W R k Z W R U b 0 R h d G F N b 2 R l b C I g V m F s d W U 9 I m w w I i A v P j x F b n R y e S B U e X B l P S J G a W x s Q 2 9 s d W 1 u V H l w Z X M i I F Z h b H V l P S J z Q m d N Q U F B Q U F B Q U F B Q U F B Q S I g L z 4 8 R W 5 0 c n k g V H l w Z T 0 i R m l s b E N v d W 5 0 I i B W Y W x 1 Z T 0 i b D A i I C 8 + P E V u d H J 5 I F R 5 c G U 9 I k Z p b G x D b 2 x 1 b W 5 O Y W 1 l c y I g V m F s d W U 9 I n N b J n F 1 b 3 Q 7 0 J D R g N G C 0 L j Q u t G D 0 L s m c X V v d D s s J n F 1 b 3 Q 7 0 J r Q v t C 7 L d C y 0 L 4 m c X V v d D s s J n F 1 b 3 Q 7 0 L w y J n F 1 b 3 Q 7 L C Z x d W 9 0 O 9 C U M S Z x d W 9 0 O y w m c X V v d D v Q q D E m c X V v d D s s J n F 1 b 3 Q 7 0 J Q y J n F 1 b 3 Q 7 L C Z x d W 9 0 O 9 C o M i Z x d W 9 0 O y w m c X V v d D v Q l D M m c X V v d D s s J n F 1 b 3 Q 7 0 K g z J n F 1 b 3 Q 7 L C Z x d W 9 0 O 9 C U N C Z x d W 9 0 O y w m c X V v d D v Q q D Q m c X V v d D s s J n F 1 b 3 Q 7 U i Z x d W 9 0 O 1 0 i I C 8 + P E V u d H J 5 I F R 5 c G U 9 I k Z p b G x M Y X N 0 V X B k Y X R l Z C I g V m F s d W U 9 I m Q y M D I 2 L T A x L T E 5 V D E w O j A 2 O j E 2 L j A y M z c w M z Z a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k Z p b G x U Y X J n Z X Q i I F Z h b H V l P S J z 0 K L Q s N C x 0 L v Q u N G G 0 L D Q m t C + 0 Y D Q v 9 G D 0 Y F f M j I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o t C w 0 L H Q u 9 C 4 0 Y b Q s N C a 0 L 7 R g N C / 0 Y P R g S A o M i k v 0 J j Q t 9 C 8 0 L X Q v d C 1 0 L 3 Q v d G L 0 L k g 0 Y L Q u N C / L n v Q k N G A 0 Y L Q u N C 6 0 Y P Q u y w y f S Z x d W 9 0 O y w m c X V v d D t T Z W N 0 a W 9 u M S / Q o t C w 0 L H Q u 9 C 4 0 Y b Q s N C a 0 L 7 R g N C / 0 Y P R g S A o M i k v 0 J j Q t 9 C 8 0 L X Q v d C 1 0 L 3 Q v d G L 0 L k g 0 Y L Q u N C / L n v Q m t C + 0 L s t 0 L L Q v i w 4 f S Z x d W 9 0 O y w m c X V v d D t T Z W N 0 a W 9 u M S / Q o t C w 0 L H Q u 9 C 4 0 Y b Q s N C a 0 L 7 R g N C / 0 Y P R g S A o M i k v 0 J T Q v t C x 0 L D Q s t C 7 0 L X Q v S D Q v 9 C + 0 L v R j N C 3 0 L 7 Q s t C w 0 Y L Q t d C 7 0 Y z R g d C 6 0 L j Q u S D Q v t C x 0 Y r Q t d C 6 0 Y I u e 9 C f 0 L 7 Q u 9 G M 0 L f Q v t C y 0 L D R g t C 1 0 L v R j N G B 0 L r Q u N C 5 L D E z f S Z x d W 9 0 O y w m c X V v d D t T Z W N 0 a W 9 u M S / Q o t C w 0 L H Q u 9 C 4 0 Y b Q s N C a 0 L 7 R g N C / 0 Y P R g S A o M i k v 0 J j R g d G C 0 L 7 R h 9 C 9 0 L j Q u i 5 7 0 K T Q s N G B 0 L D Q t C A x I N C S 0 Y v R g d C + 0 Y L Q s C w x N H 0 m c X V v d D s s J n F 1 b 3 Q 7 U 2 V j d G l v b j E v 0 K L Q s N C x 0 L v Q u N G G 0 L D Q m t C + 0 Y D Q v 9 G D 0 Y E g K D I p L 9 C Y 0 Y H R g t C + 0 Y f Q v d C 4 0 L o u e 9 C k 0 L D R g d C w 0 L Q g M S D Q q N C 4 0 Y D Q u N C 9 0 L A s M T V 9 J n F 1 b 3 Q 7 L C Z x d W 9 0 O 1 N l Y 3 R p b 2 4 x L 9 C i 0 L D Q s d C 7 0 L j R h t C w 0 J r Q v t G A 0 L / R g 9 G B I C g y K S / Q m N G B 0 Y L Q v t G H 0 L 3 Q u N C 6 L n v Q p N C w 0 Y H Q s N C 0 I D I g 0 J L R i 9 G B 0 L 7 R g t C w L D E 2 f S Z x d W 9 0 O y w m c X V v d D t T Z W N 0 a W 9 u M S / Q o t C w 0 L H Q u 9 C 4 0 Y b Q s N C a 0 L 7 R g N C / 0 Y P R g S A o M i k v 0 J j R g d G C 0 L 7 R h 9 C 9 0 L j Q u i 5 7 0 K T Q s N G B 0 L D Q t C A y I N C o 0 L j R g N C 4 0 L 3 Q s C w x N 3 0 m c X V v d D s s J n F 1 b 3 Q 7 U 2 V j d G l v b j E v 0 K L Q s N C x 0 L v Q u N G G 0 L D Q m t C + 0 Y D Q v 9 G D 0 Y E g K D I p L 9 C Y 0 Y H R g t C + 0 Y f Q v d C 4 0 L o u e 9 C k 0 L D R g d C w 0 L Q g M y D Q k t G L 0 Y H Q v t G C 0 L A s M T h 9 J n F 1 b 3 Q 7 L C Z x d W 9 0 O 1 N l Y 3 R p b 2 4 x L 9 C i 0 L D Q s d C 7 0 L j R h t C w 0 J r Q v t G A 0 L / R g 9 G B I C g y K S / Q m N G B 0 Y L Q v t G H 0 L 3 Q u N C 6 L n v Q p N C w 0 Y H Q s N C 0 I D M g 0 K j Q u N G A 0 L j Q v d C w L D E 5 f S Z x d W 9 0 O y w m c X V v d D t T Z W N 0 a W 9 u M S / Q o t C w 0 L H Q u 9 C 4 0 Y b Q s N C a 0 L 7 R g N C / 0 Y P R g S A o M i k v 0 J j R g d G C 0 L 7 R h 9 C 9 0 L j Q u i 5 7 0 K T Q s N G B 0 L D Q t C A 0 I N C S 0 Y v R g d C + 0 Y L Q s C w y M H 0 m c X V v d D s s J n F 1 b 3 Q 7 U 2 V j d G l v b j E v 0 K L Q s N C x 0 L v Q u N G G 0 L D Q m t C + 0 Y D Q v 9 G D 0 Y E g K D I p L 9 C Y 0 Y H R g t C + 0 Y f Q v d C 4 0 L o u e 9 C k 0 L D R g d C w 0 L Q g N C D Q q N C 4 0 Y D Q u N C 9 0 L A s M j F 9 J n F 1 b 3 Q 7 L C Z x d W 9 0 O 1 N l Y 3 R p b 2 4 x L 9 C i 0 L D Q s d C 7 0 L j R h t C w 0 J r Q v t G A 0 L / R g 9 G B I C g y K S / Q m N G B 0 Y L Q v t G H 0 L 3 Q u N C 6 L n v Q o N C w 0 L T Q u N G D 0 Y H Q v d G L 0 L k s M j J 9 J n F 1 b 3 Q 7 X S w m c X V v d D t D b 2 x 1 b W 5 D b 3 V u d C Z x d W 9 0 O z o x M i w m c X V v d D t L Z X l D b 2 x 1 b W 5 O Y W 1 l c y Z x d W 9 0 O z p b X S w m c X V v d D t D b 2 x 1 b W 5 J Z G V u d G l 0 a W V z J n F 1 b 3 Q 7 O l s m c X V v d D t T Z W N 0 a W 9 u M S / Q o t C w 0 L H Q u 9 C 4 0 Y b Q s N C a 0 L 7 R g N C / 0 Y P R g S A o M i k v 0 J j Q t 9 C 8 0 L X Q v d C 1 0 L 3 Q v d G L 0 L k g 0 Y L Q u N C / L n v Q k N G A 0 Y L Q u N C 6 0 Y P Q u y w y f S Z x d W 9 0 O y w m c X V v d D t T Z W N 0 a W 9 u M S / Q o t C w 0 L H Q u 9 C 4 0 Y b Q s N C a 0 L 7 R g N C / 0 Y P R g S A o M i k v 0 J j Q t 9 C 8 0 L X Q v d C 1 0 L 3 Q v d G L 0 L k g 0 Y L Q u N C / L n v Q m t C + 0 L s t 0 L L Q v i w 4 f S Z x d W 9 0 O y w m c X V v d D t T Z W N 0 a W 9 u M S / Q o t C w 0 L H Q u 9 C 4 0 Y b Q s N C a 0 L 7 R g N C / 0 Y P R g S A o M i k v 0 J T Q v t C x 0 L D Q s t C 7 0 L X Q v S D Q v 9 C + 0 L v R j N C 3 0 L 7 Q s t C w 0 Y L Q t d C 7 0 Y z R g d C 6 0 L j Q u S D Q v t C x 0 Y r Q t d C 6 0 Y I u e 9 C f 0 L 7 Q u 9 G M 0 L f Q v t C y 0 L D R g t C 1 0 L v R j N G B 0 L r Q u N C 5 L D E z f S Z x d W 9 0 O y w m c X V v d D t T Z W N 0 a W 9 u M S / Q o t C w 0 L H Q u 9 C 4 0 Y b Q s N C a 0 L 7 R g N C / 0 Y P R g S A o M i k v 0 J j R g d G C 0 L 7 R h 9 C 9 0 L j Q u i 5 7 0 K T Q s N G B 0 L D Q t C A x I N C S 0 Y v R g d C + 0 Y L Q s C w x N H 0 m c X V v d D s s J n F 1 b 3 Q 7 U 2 V j d G l v b j E v 0 K L Q s N C x 0 L v Q u N G G 0 L D Q m t C + 0 Y D Q v 9 G D 0 Y E g K D I p L 9 C Y 0 Y H R g t C + 0 Y f Q v d C 4 0 L o u e 9 C k 0 L D R g d C w 0 L Q g M S D Q q N C 4 0 Y D Q u N C 9 0 L A s M T V 9 J n F 1 b 3 Q 7 L C Z x d W 9 0 O 1 N l Y 3 R p b 2 4 x L 9 C i 0 L D Q s d C 7 0 L j R h t C w 0 J r Q v t G A 0 L / R g 9 G B I C g y K S / Q m N G B 0 Y L Q v t G H 0 L 3 Q u N C 6 L n v Q p N C w 0 Y H Q s N C 0 I D I g 0 J L R i 9 G B 0 L 7 R g t C w L D E 2 f S Z x d W 9 0 O y w m c X V v d D t T Z W N 0 a W 9 u M S / Q o t C w 0 L H Q u 9 C 4 0 Y b Q s N C a 0 L 7 R g N C / 0 Y P R g S A o M i k v 0 J j R g d G C 0 L 7 R h 9 C 9 0 L j Q u i 5 7 0 K T Q s N G B 0 L D Q t C A y I N C o 0 L j R g N C 4 0 L 3 Q s C w x N 3 0 m c X V v d D s s J n F 1 b 3 Q 7 U 2 V j d G l v b j E v 0 K L Q s N C x 0 L v Q u N G G 0 L D Q m t C + 0 Y D Q v 9 G D 0 Y E g K D I p L 9 C Y 0 Y H R g t C + 0 Y f Q v d C 4 0 L o u e 9 C k 0 L D R g d C w 0 L Q g M y D Q k t G L 0 Y H Q v t G C 0 L A s M T h 9 J n F 1 b 3 Q 7 L C Z x d W 9 0 O 1 N l Y 3 R p b 2 4 x L 9 C i 0 L D Q s d C 7 0 L j R h t C w 0 J r Q v t G A 0 L / R g 9 G B I C g y K S / Q m N G B 0 Y L Q v t G H 0 L 3 Q u N C 6 L n v Q p N C w 0 Y H Q s N C 0 I D M g 0 K j Q u N G A 0 L j Q v d C w L D E 5 f S Z x d W 9 0 O y w m c X V v d D t T Z W N 0 a W 9 u M S / Q o t C w 0 L H Q u 9 C 4 0 Y b Q s N C a 0 L 7 R g N C / 0 Y P R g S A o M i k v 0 J j R g d G C 0 L 7 R h 9 C 9 0 L j Q u i 5 7 0 K T Q s N G B 0 L D Q t C A 0 I N C S 0 Y v R g d C + 0 Y L Q s C w y M H 0 m c X V v d D s s J n F 1 b 3 Q 7 U 2 V j d G l v b j E v 0 K L Q s N C x 0 L v Q u N G G 0 L D Q m t C + 0 Y D Q v 9 G D 0 Y E g K D I p L 9 C Y 0 Y H R g t C + 0 Y f Q v d C 4 0 L o u e 9 C k 0 L D R g d C w 0 L Q g N C D Q q N C 4 0 Y D Q u N C 9 0 L A s M j F 9 J n F 1 b 3 Q 7 L C Z x d W 9 0 O 1 N l Y 3 R p b 2 4 x L 9 C i 0 L D Q s d C 7 0 L j R h t C w 0 J r Q v t G A 0 L / R g 9 G B I C g y K S / Q m N G B 0 Y L Q v t G H 0 L 3 Q u N C 6 L n v Q o N C w 0 L T Q u N G D 0 Y H Q v d G L 0 L k s M j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l M j A o M i k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U Q w J T l B J U Q w J U J F J U Q x J T g w J U Q w J U J G J U Q x J T g z J U Q x J T g x J T I w K D I p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U y M C g y K S 8 l R D A l O T Q l R D E l O D A l R D E l O D M l R D A l Q j M l R D A l Q j g l R D A l Q j U l M j A l R D E l O D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l M j A o M i k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U Q w J T l B J U Q w J U J F J U Q x J T g w J U Q w J U J G J U Q x J T g z J U Q x J T g x J T I w K D I p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l M j A o M i k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U Q w J T l B J U Q w J U J F J U Q x J T g w J U Q w J U J G J U Q x J T g z J U Q x J T g x J T I w K D I p L y V E M C U 5 N C V E M C V C R S V E M C V C M S V E M C V C M C V E M C V C M i V E M C V C Q i V E M C V C N S V E M C V C R C U y M C V E M C V C R i V E M C V C R S V E M C V C Q i V E M S U 4 Q y V E M C V C N y V E M C V C R S V E M C V C M i V E M C V C M C V E M S U 4 M i V E M C V C N S V E M C V C Q i V E M S U 4 Q y V E M S U 4 M S V E M C V C Q S V E M C V C O C V E M C V C O S U y M C V E M C V C R S V E M C V C M S V E M S U 4 Q S V E M C V C N S V E M C V C Q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U y M C g y K S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l R D A l O U E l R D A l Q k U l R D E l O D A l R D A l Q k Y l R D E l O D M l R D E l O D E l M j A o M i k v J U Q w J U E z J U Q w J U I 0 J U Q w J U I w J U Q w J U J C J U Q w J U I 1 J U Q w J U J E J U Q w J U J E J U Q x J T h C J U Q w J U I 1 J T I w J U Q x J T g x J U Q x J T g y J U Q w J U J F J U Q w J U J C J U Q w J U I x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U y M C g y K S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J U Q w J T l B J U Q w J U J F J U Q x J T g w J U Q w J U J G J U Q x J T g z J U Q x J T g x J T I w K D I p L y V E M C U 5 R i V E M C V C N S V E M S U 4 M C V E M C V C N S V E M S U 4 M y V E M C V C R i V E M C V C R S V E M S U 4 M C V E M S U 4 R i V E M C V C N C V E M C V C R S V E M S U 4 N y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C V E M C U 5 Q S V E M C V C R S V E M S U 4 M C V E M C V C R i V E M S U 4 M y V E M S U 4 M S U y M C g y K S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b V + h V W b T t I m m j R c r a o y a 8 A A A A A A g A A A A A A E G Y A A A A B A A A g A A A A k B B Z 4 z J l m Q P 5 F 8 6 D T G O 9 D x h 2 q a l G L i s 9 C n J C V z g x X p Q A A A A A D o A A A A A C A A A g A A A A B k c p j V n 3 K 5 A H l Y b t s m h L c G I M i o Y e R 3 S d K A z W r g w w k r J Q A A A A 3 M K 6 s n 2 o d F v T / a 6 6 O C 4 8 k B u f N r p / + T p G 1 A g W Z O B 8 h T V 6 r t 5 L D 7 1 D D k Q 4 I l M O / V y p u J M k 2 z y V K m c D Y u t j x m M E / f e 5 Q Y I O N M K f b Q e B y h B m U x 9 A A A A A Z Q s D k 8 F O q 1 M W R W m 6 + O S c 6 q x Q F U + h d p J y R D c P u p M g 5 p i e 4 r V c 6 q 3 l N X C q F 5 t W F 5 d Y Q 0 F x G Z l 0 m k f 4 J J s P d z E Q M Q = = < / D a t a M a s h u p > 
</file>

<file path=customXml/itemProps1.xml><?xml version="1.0" encoding="utf-8"?>
<ds:datastoreItem xmlns:ds="http://schemas.openxmlformats.org/officeDocument/2006/customXml" ds:itemID="{074B097F-1F4B-4E90-B2D4-8CA0FF8FE18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Калькулятор</vt:lpstr>
      <vt:lpstr>Отчет по корпусам</vt:lpstr>
      <vt:lpstr>Отчет по фасадам</vt:lpstr>
      <vt:lpstr>Фурнитура</vt:lpstr>
      <vt:lpstr>Общий отчёт</vt:lpstr>
      <vt:lpstr>Бланк заказа корпус</vt:lpstr>
      <vt:lpstr>Калькулятор!Область_печати</vt:lpstr>
      <vt:lpstr>'Отчет по корпусам'!Область_печати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Oleg</dc:creator>
  <cp:lastModifiedBy>Технолог 2</cp:lastModifiedBy>
  <cp:lastPrinted>2024-06-13T09:19:51Z</cp:lastPrinted>
  <dcterms:created xsi:type="dcterms:W3CDTF">2021-11-15T12:15:50Z</dcterms:created>
  <dcterms:modified xsi:type="dcterms:W3CDTF">2026-01-19T10:07:09Z</dcterms:modified>
</cp:coreProperties>
</file>